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3  CERTREL - Ana\"/>
    </mc:Choice>
  </mc:AlternateContent>
  <xr:revisionPtr revIDLastSave="0" documentId="8_{C3890EA0-0D34-43B7-BA65-DA2F992B9CE5}" xr6:coauthVersionLast="47" xr6:coauthVersionMax="47" xr10:uidLastSave="{00000000-0000-0000-0000-000000000000}"/>
  <bookViews>
    <workbookView xWindow="-120" yWindow="-120" windowWidth="24240" windowHeight="13140" tabRatio="725" firstSheet="6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state="hidden" r:id="rId13"/>
    <sheet name="Conexão " sheetId="87" state="hidden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Faturas!$AB$1:$AE$674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10" r:id="rId49"/>
    <pivotCache cacheId="11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206" i="89" l="1"/>
  <c r="AN205" i="89"/>
  <c r="AS281" i="89"/>
  <c r="AW294" i="89"/>
  <c r="M15" i="51"/>
  <c r="AU248" i="89" l="1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5" i="89"/>
  <c r="AO206" i="89"/>
  <c r="AM186" i="89"/>
  <c r="AS262" i="89" s="1"/>
  <c r="AN186" i="89"/>
  <c r="C64" i="64" s="1"/>
  <c r="AM187" i="89"/>
  <c r="AS263" i="89" s="1"/>
  <c r="AS264" i="89"/>
  <c r="AS265" i="89"/>
  <c r="C67" i="64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52" i="89" l="1"/>
  <c r="AU268" i="89"/>
  <c r="AU265" i="89"/>
  <c r="AU260" i="89"/>
  <c r="AU251" i="89"/>
  <c r="AU250" i="89"/>
  <c r="AU270" i="89"/>
  <c r="AU262" i="89"/>
  <c r="AU269" i="89"/>
  <c r="AU261" i="89"/>
  <c r="AU267" i="89"/>
  <c r="AU259" i="89"/>
  <c r="AU272" i="89"/>
  <c r="AU256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F176" i="49" s="1"/>
  <c r="I38" i="50"/>
  <c r="G176" i="49" s="1"/>
  <c r="J38" i="50"/>
  <c r="H176" i="49" s="1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E43" i="50"/>
  <c r="H43" i="50"/>
  <c r="I43" i="50"/>
  <c r="J43" i="50"/>
  <c r="K43" i="50"/>
  <c r="L43" i="50"/>
  <c r="M43" i="50"/>
  <c r="K181" i="49" s="1"/>
  <c r="E44" i="50"/>
  <c r="H44" i="50"/>
  <c r="I44" i="50"/>
  <c r="J44" i="50"/>
  <c r="K44" i="50"/>
  <c r="L44" i="50"/>
  <c r="M44" i="50"/>
  <c r="E45" i="50"/>
  <c r="H45" i="50"/>
  <c r="I45" i="50"/>
  <c r="J45" i="50"/>
  <c r="K45" i="50"/>
  <c r="L45" i="50"/>
  <c r="M45" i="50"/>
  <c r="H46" i="50"/>
  <c r="I46" i="50"/>
  <c r="J46" i="50"/>
  <c r="K46" i="50"/>
  <c r="L46" i="50"/>
  <c r="M46" i="50"/>
  <c r="H47" i="50"/>
  <c r="F185" i="49" s="1"/>
  <c r="I47" i="50"/>
  <c r="G185" i="49" s="1"/>
  <c r="J47" i="50"/>
  <c r="H185" i="49" s="1"/>
  <c r="K47" i="50"/>
  <c r="I185" i="49" s="1"/>
  <c r="L47" i="50"/>
  <c r="J185" i="49" s="1"/>
  <c r="M47" i="50"/>
  <c r="K185" i="49" s="1"/>
  <c r="H48" i="50"/>
  <c r="F186" i="49" s="1"/>
  <c r="I48" i="50"/>
  <c r="G186" i="49" s="1"/>
  <c r="J48" i="50"/>
  <c r="H186" i="49" s="1"/>
  <c r="K48" i="50"/>
  <c r="I186" i="49" s="1"/>
  <c r="L48" i="50"/>
  <c r="J186" i="49" s="1"/>
  <c r="M48" i="50"/>
  <c r="K186" i="49" s="1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C179" i="49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C186" i="49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F235" i="49" s="1"/>
  <c r="I97" i="50"/>
  <c r="G235" i="49" s="1"/>
  <c r="J97" i="50"/>
  <c r="H235" i="49" s="1"/>
  <c r="K97" i="50"/>
  <c r="I235" i="49" s="1"/>
  <c r="L97" i="50"/>
  <c r="J235" i="49" s="1"/>
  <c r="M97" i="50"/>
  <c r="K235" i="49" s="1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7" i="49"/>
  <c r="H178" i="49"/>
  <c r="H179" i="49"/>
  <c r="H180" i="49"/>
  <c r="H181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7" i="49"/>
  <c r="G178" i="49"/>
  <c r="G179" i="49"/>
  <c r="G180" i="49"/>
  <c r="G181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7" i="49"/>
  <c r="F178" i="49"/>
  <c r="F179" i="49"/>
  <c r="F180" i="49"/>
  <c r="F181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6" i="89" l="1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F45" i="58"/>
  <c r="E45" i="58"/>
  <c r="F44" i="58"/>
  <c r="E44" i="58"/>
  <c r="K44" i="58" s="1"/>
  <c r="F43" i="58"/>
  <c r="E43" i="58"/>
  <c r="K42" i="58"/>
  <c r="K41" i="58"/>
  <c r="M6" i="58"/>
  <c r="K46" i="58" l="1"/>
  <c r="L46" i="58" s="1"/>
  <c r="Q209" i="49"/>
  <c r="AU276" i="89"/>
  <c r="L6" i="58"/>
  <c r="K43" i="58"/>
  <c r="L43" i="58" s="1"/>
  <c r="K47" i="58"/>
  <c r="L47" i="58" s="1"/>
  <c r="K45" i="58"/>
  <c r="L45" i="58" s="1"/>
  <c r="L44" i="58"/>
  <c r="J48" i="58"/>
  <c r="L41" i="58"/>
  <c r="L42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M16" i="51" s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D118" i="78"/>
  <c r="C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D119" i="78"/>
  <c r="C116" i="78"/>
  <c r="D114" i="78"/>
  <c r="C115" i="78"/>
  <c r="C114" i="78"/>
  <c r="D117" i="78"/>
  <c r="C117" i="78"/>
  <c r="D115" i="78"/>
  <c r="D116" i="78"/>
  <c r="C119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9" i="78"/>
  <c r="C10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13" i="49"/>
  <c r="Q105" i="49"/>
  <c r="Q106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C97" i="78"/>
  <c r="C20" i="78"/>
  <c r="C79" i="78"/>
  <c r="G8" i="78"/>
  <c r="C84" i="78"/>
  <c r="C15" i="78"/>
  <c r="C16" i="78"/>
  <c r="C95" i="78"/>
  <c r="C91" i="78"/>
  <c r="C82" i="78"/>
  <c r="D13" i="78"/>
  <c r="C19" i="78"/>
  <c r="C87" i="78"/>
  <c r="D20" i="78"/>
  <c r="D15" i="78"/>
  <c r="C90" i="78"/>
  <c r="G12" i="78"/>
  <c r="C83" i="78"/>
  <c r="C94" i="78"/>
  <c r="D17" i="78"/>
  <c r="G13" i="78"/>
  <c r="C14" i="78"/>
  <c r="D12" i="78"/>
  <c r="D18" i="78"/>
  <c r="C81" i="78"/>
  <c r="C93" i="78"/>
  <c r="D11" i="78"/>
  <c r="C12" i="78"/>
  <c r="D9" i="78"/>
  <c r="D14" i="78"/>
  <c r="C17" i="78"/>
  <c r="C88" i="78"/>
  <c r="C13" i="78"/>
  <c r="D10" i="78"/>
  <c r="C11" i="78"/>
  <c r="G14" i="78"/>
  <c r="G11" i="78"/>
  <c r="C92" i="78"/>
  <c r="G10" i="78"/>
  <c r="G9" i="78"/>
  <c r="C18" i="78"/>
  <c r="C89" i="78"/>
  <c r="D19" i="78"/>
  <c r="D16" i="78"/>
  <c r="C80" i="78"/>
  <c r="D21" i="78"/>
  <c r="J9" i="61" l="1"/>
  <c r="J6" i="6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E15" i="143" s="1"/>
  <c r="C3" i="61"/>
  <c r="C25" i="78"/>
  <c r="I6" i="51"/>
  <c r="BB297" i="89"/>
  <c r="X9" i="89"/>
  <c r="X10" i="89" s="1"/>
  <c r="G60" i="89"/>
  <c r="J86" i="89"/>
  <c r="L85" i="89"/>
  <c r="F60" i="89"/>
  <c r="G17" i="78"/>
  <c r="I22" i="51" l="1"/>
  <c r="C7" i="51" s="1"/>
  <c r="D18" i="64" s="1"/>
  <c r="AU223" i="89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55" i="85"/>
  <c r="C18" i="85"/>
  <c r="C73" i="85"/>
  <c r="C138" i="85"/>
  <c r="C108" i="85"/>
  <c r="C104" i="85"/>
  <c r="C162" i="85"/>
  <c r="C8" i="85"/>
  <c r="C131" i="85"/>
  <c r="C137" i="85"/>
  <c r="C151" i="85"/>
  <c r="C26" i="85"/>
  <c r="C36" i="85"/>
  <c r="C133" i="85"/>
  <c r="C146" i="85"/>
  <c r="C134" i="85"/>
  <c r="C15" i="85"/>
  <c r="C38" i="85"/>
  <c r="C125" i="85"/>
  <c r="C166" i="85"/>
  <c r="C97" i="85"/>
  <c r="C46" i="85"/>
  <c r="C123" i="85"/>
  <c r="C19" i="85"/>
  <c r="C110" i="85"/>
  <c r="C71" i="85"/>
  <c r="C111" i="85"/>
  <c r="C157" i="85"/>
  <c r="C115" i="85"/>
  <c r="C90" i="85"/>
  <c r="C148" i="85"/>
  <c r="C5" i="85"/>
  <c r="C154" i="85"/>
  <c r="C45" i="85"/>
  <c r="C109" i="85"/>
  <c r="C129" i="85"/>
  <c r="C99" i="85"/>
  <c r="C39" i="85"/>
  <c r="C23" i="85"/>
  <c r="C114" i="85"/>
  <c r="C100" i="85"/>
  <c r="C87" i="85"/>
  <c r="C6" i="85"/>
  <c r="C139" i="85"/>
  <c r="C16" i="85"/>
  <c r="C153" i="85"/>
  <c r="C107" i="85"/>
  <c r="C20" i="85"/>
  <c r="C4" i="85"/>
  <c r="C32" i="85"/>
  <c r="C117" i="85"/>
  <c r="C21" i="85"/>
  <c r="C144" i="85"/>
  <c r="C103" i="85"/>
  <c r="C7" i="85"/>
  <c r="C11" i="85"/>
  <c r="C44" i="85"/>
  <c r="C130" i="85"/>
  <c r="C112" i="85"/>
  <c r="C25" i="85"/>
  <c r="C163" i="85"/>
  <c r="C96" i="85"/>
  <c r="C121" i="85"/>
  <c r="C165" i="85"/>
  <c r="C102" i="85"/>
  <c r="C127" i="85"/>
  <c r="C150" i="85"/>
  <c r="C14" i="85"/>
  <c r="C152" i="85"/>
  <c r="C159" i="85"/>
  <c r="C12" i="85"/>
  <c r="C158" i="85"/>
  <c r="C95" i="85"/>
  <c r="C167" i="85"/>
  <c r="C161" i="85"/>
  <c r="C164" i="85"/>
  <c r="C9" i="85"/>
  <c r="C141" i="85"/>
  <c r="C101" i="85"/>
  <c r="C60" i="85"/>
  <c r="C106" i="85"/>
  <c r="C37" i="85"/>
  <c r="C140" i="85"/>
  <c r="C77" i="85"/>
  <c r="C3" i="85"/>
  <c r="C13" i="85"/>
  <c r="C132" i="85"/>
  <c r="C160" i="85"/>
  <c r="C143" i="85"/>
  <c r="C149" i="85"/>
  <c r="C156" i="85"/>
  <c r="C147" i="85"/>
  <c r="C119" i="85"/>
  <c r="C24" i="85"/>
  <c r="C142" i="85"/>
  <c r="C17" i="85"/>
  <c r="C105" i="85"/>
  <c r="C113" i="85"/>
  <c r="C57" i="85"/>
  <c r="C98" i="85"/>
  <c r="C10" i="85"/>
  <c r="C145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H14" i="25"/>
  <c r="I14" i="25" s="1"/>
  <c r="J14" i="25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136" i="85"/>
  <c r="C31" i="85"/>
  <c r="C70" i="85"/>
  <c r="C88" i="85"/>
  <c r="C22" i="85"/>
  <c r="C82" i="85"/>
  <c r="C135" i="85"/>
  <c r="F31" i="58" l="1"/>
  <c r="F30" i="58"/>
  <c r="F32" i="58"/>
  <c r="F29" i="58"/>
  <c r="H28" i="58"/>
  <c r="K53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D47" i="50" s="1"/>
  <c r="H13" i="25"/>
  <c r="T74" i="78"/>
  <c r="M74" i="78"/>
  <c r="L74" i="78"/>
  <c r="D74" i="78"/>
  <c r="U74" i="78"/>
  <c r="Q74" i="78"/>
  <c r="P74" i="78"/>
  <c r="J74" i="78"/>
  <c r="G74" i="78"/>
  <c r="N74" i="78"/>
  <c r="R74" i="78"/>
  <c r="K74" i="78"/>
  <c r="O74" i="78"/>
  <c r="F74" i="78"/>
  <c r="S74" i="78"/>
  <c r="C72" i="85"/>
  <c r="C30" i="85"/>
  <c r="I74" i="78"/>
  <c r="H74" i="78"/>
  <c r="E74" i="78"/>
  <c r="Q185" i="49" l="1"/>
  <c r="P185" i="49" s="1"/>
  <c r="K30" i="39" a="1"/>
  <c r="K30" i="39" s="1"/>
  <c r="D39" i="64" s="1"/>
  <c r="BA239" i="89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D48" i="50" s="1"/>
  <c r="B46" i="25"/>
  <c r="M73" i="78"/>
  <c r="T73" i="78"/>
  <c r="I73" i="78"/>
  <c r="P73" i="78"/>
  <c r="O73" i="78"/>
  <c r="R73" i="78"/>
  <c r="L73" i="78"/>
  <c r="S73" i="78"/>
  <c r="J73" i="78"/>
  <c r="U73" i="78"/>
  <c r="E73" i="78"/>
  <c r="K73" i="78"/>
  <c r="G73" i="78"/>
  <c r="F73" i="78"/>
  <c r="Q73" i="78"/>
  <c r="N73" i="78"/>
  <c r="D73" i="78"/>
  <c r="H73" i="78"/>
  <c r="Q186" i="49" l="1"/>
  <c r="P186" i="49" s="1"/>
  <c r="G76" i="39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G72" i="78"/>
  <c r="S72" i="78"/>
  <c r="N72" i="78"/>
  <c r="P72" i="78"/>
  <c r="T72" i="78"/>
  <c r="F72" i="78"/>
  <c r="O72" i="78"/>
  <c r="J72" i="78"/>
  <c r="E72" i="78"/>
  <c r="L72" i="78"/>
  <c r="I72" i="78"/>
  <c r="R72" i="78"/>
  <c r="H72" i="78"/>
  <c r="Q72" i="78"/>
  <c r="D72" i="78"/>
  <c r="K72" i="78"/>
  <c r="U72" i="78"/>
  <c r="M72" i="78"/>
  <c r="AN195" i="89" l="1"/>
  <c r="AO195" i="89" s="1"/>
  <c r="L16" i="58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F71" i="78"/>
  <c r="I71" i="78"/>
  <c r="L71" i="78"/>
  <c r="S71" i="78"/>
  <c r="H71" i="78"/>
  <c r="T71" i="78"/>
  <c r="U71" i="78"/>
  <c r="K71" i="78"/>
  <c r="J71" i="78"/>
  <c r="Q71" i="78"/>
  <c r="D71" i="78"/>
  <c r="P71" i="78"/>
  <c r="R71" i="78"/>
  <c r="M71" i="78"/>
  <c r="E71" i="78"/>
  <c r="C55" i="85"/>
  <c r="O71" i="78"/>
  <c r="G71" i="78"/>
  <c r="N71" i="78"/>
  <c r="AU271" i="89" l="1"/>
  <c r="C73" i="64"/>
  <c r="L19" i="58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K70" i="78"/>
  <c r="N70" i="78"/>
  <c r="J70" i="78"/>
  <c r="M70" i="78"/>
  <c r="O70" i="78"/>
  <c r="G70" i="78"/>
  <c r="T70" i="78"/>
  <c r="I70" i="78"/>
  <c r="R70" i="78"/>
  <c r="L70" i="78"/>
  <c r="H70" i="78"/>
  <c r="S70" i="78"/>
  <c r="E70" i="78"/>
  <c r="D70" i="78"/>
  <c r="P70" i="78"/>
  <c r="Q70" i="78"/>
  <c r="F70" i="78"/>
  <c r="U70" i="78"/>
  <c r="L18" i="58" l="1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Q69" i="78"/>
  <c r="F69" i="78"/>
  <c r="D69" i="78"/>
  <c r="L69" i="78"/>
  <c r="U69" i="78"/>
  <c r="I69" i="78"/>
  <c r="M69" i="78"/>
  <c r="G69" i="78"/>
  <c r="O69" i="78"/>
  <c r="H69" i="78"/>
  <c r="T69" i="78"/>
  <c r="P69" i="78"/>
  <c r="K69" i="78"/>
  <c r="R69" i="78"/>
  <c r="E69" i="78"/>
  <c r="J69" i="78"/>
  <c r="S69" i="78"/>
  <c r="N69" i="78"/>
  <c r="E35" i="50" l="1"/>
  <c r="E49" i="50"/>
  <c r="E28" i="50"/>
  <c r="E48" i="50"/>
  <c r="E39" i="50"/>
  <c r="E65" i="50"/>
  <c r="E71" i="50"/>
  <c r="E27" i="50"/>
  <c r="E32" i="50"/>
  <c r="E47" i="50"/>
  <c r="E36" i="50"/>
  <c r="E38" i="50"/>
  <c r="E57" i="50"/>
  <c r="E26" i="50"/>
  <c r="E46" i="50"/>
  <c r="E51" i="50"/>
  <c r="E50" i="50"/>
  <c r="E42" i="50"/>
  <c r="E64" i="50"/>
  <c r="E30" i="50"/>
  <c r="E99" i="50"/>
  <c r="E100" i="50"/>
  <c r="E97" i="50"/>
  <c r="E98" i="50"/>
  <c r="E94" i="50"/>
  <c r="E96" i="50"/>
  <c r="E95" i="50"/>
  <c r="E93" i="50"/>
  <c r="E92" i="50"/>
  <c r="C12" i="58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S68" i="78"/>
  <c r="L68" i="78"/>
  <c r="K68" i="78"/>
  <c r="P68" i="78"/>
  <c r="H68" i="78"/>
  <c r="R68" i="78"/>
  <c r="U68" i="78"/>
  <c r="I68" i="78"/>
  <c r="M68" i="78"/>
  <c r="G68" i="78"/>
  <c r="E68" i="78"/>
  <c r="O68" i="78"/>
  <c r="J68" i="78"/>
  <c r="N68" i="78"/>
  <c r="F68" i="78"/>
  <c r="T68" i="78"/>
  <c r="D68" i="78"/>
  <c r="Q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Q67" i="78"/>
  <c r="J67" i="78"/>
  <c r="O67" i="78"/>
  <c r="N67" i="78"/>
  <c r="D67" i="78"/>
  <c r="R67" i="78"/>
  <c r="E67" i="78"/>
  <c r="K67" i="78"/>
  <c r="F67" i="78"/>
  <c r="P67" i="78"/>
  <c r="U67" i="78"/>
  <c r="M67" i="78"/>
  <c r="L67" i="78"/>
  <c r="S67" i="78"/>
  <c r="G67" i="78"/>
  <c r="H67" i="78"/>
  <c r="T67" i="78"/>
  <c r="I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U66" i="78"/>
  <c r="P66" i="78"/>
  <c r="K66" i="78"/>
  <c r="R66" i="78"/>
  <c r="L66" i="78"/>
  <c r="J66" i="78"/>
  <c r="D66" i="78"/>
  <c r="F66" i="78"/>
  <c r="O66" i="78"/>
  <c r="H66" i="78"/>
  <c r="M66" i="78"/>
  <c r="I66" i="78"/>
  <c r="Q66" i="78"/>
  <c r="N66" i="78"/>
  <c r="E66" i="78"/>
  <c r="S66" i="78"/>
  <c r="T66" i="78"/>
  <c r="G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D65" i="78"/>
  <c r="G65" i="78"/>
  <c r="P65" i="78"/>
  <c r="Q65" i="78"/>
  <c r="I65" i="78"/>
  <c r="U65" i="78"/>
  <c r="T65" i="78"/>
  <c r="R65" i="78"/>
  <c r="H65" i="78"/>
  <c r="O65" i="78"/>
  <c r="S65" i="78"/>
  <c r="L65" i="78"/>
  <c r="E65" i="78"/>
  <c r="M65" i="78"/>
  <c r="K65" i="78"/>
  <c r="J65" i="78"/>
  <c r="N65" i="78"/>
  <c r="F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G64" i="78"/>
  <c r="D64" i="78"/>
  <c r="Q64" i="78"/>
  <c r="I64" i="78"/>
  <c r="R64" i="78"/>
  <c r="F64" i="78"/>
  <c r="P64" i="78"/>
  <c r="K64" i="78"/>
  <c r="N64" i="78"/>
  <c r="E64" i="78"/>
  <c r="O64" i="78"/>
  <c r="H64" i="78"/>
  <c r="T64" i="78"/>
  <c r="M64" i="78"/>
  <c r="L64" i="78"/>
  <c r="U64" i="78"/>
  <c r="S64" i="78"/>
  <c r="J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D63" i="78"/>
  <c r="S63" i="78"/>
  <c r="G63" i="78"/>
  <c r="R63" i="78"/>
  <c r="J63" i="78"/>
  <c r="P63" i="78"/>
  <c r="I63" i="78"/>
  <c r="M63" i="78"/>
  <c r="H63" i="78"/>
  <c r="E63" i="78"/>
  <c r="T63" i="78"/>
  <c r="Q63" i="78"/>
  <c r="U63" i="78"/>
  <c r="N63" i="78"/>
  <c r="F63" i="78"/>
  <c r="L63" i="78"/>
  <c r="K63" i="78"/>
  <c r="O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V226" i="89" l="1"/>
  <c r="AW226" i="89"/>
  <c r="AY226" i="89" s="1"/>
  <c r="AT223" i="89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W224" i="89"/>
  <c r="AY224" i="89" s="1"/>
  <c r="T33" i="25"/>
  <c r="G34" i="25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AN179" i="89" s="1"/>
  <c r="N25" i="25"/>
  <c r="N49" i="25" s="1"/>
  <c r="I15" i="135" s="1"/>
  <c r="D25" i="25"/>
  <c r="D49" i="25" s="1"/>
  <c r="D9" i="50" s="1"/>
  <c r="D40" i="50" s="1"/>
  <c r="H25" i="25"/>
  <c r="H49" i="25" s="1"/>
  <c r="D29" i="50" s="1"/>
  <c r="AN177" i="89" s="1"/>
  <c r="E9" i="50" l="1"/>
  <c r="C57" i="64"/>
  <c r="AU255" i="89"/>
  <c r="C55" i="64"/>
  <c r="AU253" i="89"/>
  <c r="Q169" i="49"/>
  <c r="P169" i="49" s="1"/>
  <c r="E31" i="50"/>
  <c r="Q167" i="49"/>
  <c r="P167" i="49" s="1"/>
  <c r="E29" i="50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Q178" i="49" l="1"/>
  <c r="P178" i="49" s="1"/>
  <c r="E40" i="50"/>
  <c r="Q147" i="49"/>
  <c r="P147" i="49" s="1"/>
  <c r="AO174" i="89"/>
  <c r="X55" i="25"/>
  <c r="X80" i="25" s="1"/>
  <c r="R55" i="25"/>
  <c r="R80" i="25" s="1"/>
  <c r="M42" i="51" s="1"/>
  <c r="D23" i="50" s="1"/>
  <c r="AN170" i="89" s="1"/>
  <c r="P55" i="25"/>
  <c r="P80" i="25" s="1"/>
  <c r="M41" i="51" s="1"/>
  <c r="D22" i="50" s="1"/>
  <c r="T55" i="25"/>
  <c r="T80" i="25" s="1"/>
  <c r="V55" i="25"/>
  <c r="V80" i="25" s="1"/>
  <c r="N55" i="25"/>
  <c r="N80" i="25" s="1"/>
  <c r="M35" i="51" s="1"/>
  <c r="D19" i="50" s="1"/>
  <c r="F16" i="143" s="1"/>
  <c r="D55" i="25"/>
  <c r="F55" i="25"/>
  <c r="L55" i="25"/>
  <c r="L80" i="25" s="1"/>
  <c r="M37" i="51" s="1"/>
  <c r="D21" i="50" s="1"/>
  <c r="H55" i="25"/>
  <c r="H80" i="25" s="1"/>
  <c r="M31" i="51" s="1"/>
  <c r="D15" i="50" s="1"/>
  <c r="J55" i="25"/>
  <c r="J80" i="25" s="1"/>
  <c r="BE291" i="89"/>
  <c r="BE296" i="89"/>
  <c r="BE293" i="89"/>
  <c r="BE294" i="89"/>
  <c r="BE295" i="89"/>
  <c r="M34" i="51"/>
  <c r="D18" i="50" s="1"/>
  <c r="F39" i="143" s="1"/>
  <c r="M36" i="51"/>
  <c r="D20" i="50" s="1"/>
  <c r="C48" i="64" l="1"/>
  <c r="AU246" i="89"/>
  <c r="AN169" i="89"/>
  <c r="AO170" i="89"/>
  <c r="F27" i="143"/>
  <c r="F11" i="143"/>
  <c r="Q161" i="49"/>
  <c r="P161" i="49" s="1"/>
  <c r="E23" i="50"/>
  <c r="Q160" i="49"/>
  <c r="P160" i="49" s="1"/>
  <c r="E22" i="50"/>
  <c r="Q159" i="49"/>
  <c r="P159" i="49" s="1"/>
  <c r="E21" i="50"/>
  <c r="M43" i="51"/>
  <c r="M32" i="51"/>
  <c r="D16" i="50" s="1"/>
  <c r="F15" i="143" s="1"/>
  <c r="BE292" i="89"/>
  <c r="BE297" i="89" s="1"/>
  <c r="C47" i="64" l="1"/>
  <c r="AU245" i="89"/>
  <c r="AN168" i="89"/>
  <c r="Q158" i="49"/>
  <c r="P158" i="49" s="1"/>
  <c r="E20" i="50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D52" i="50"/>
  <c r="D54" i="50"/>
  <c r="E54" i="50" s="1"/>
  <c r="D56" i="50"/>
  <c r="D55" i="50"/>
  <c r="E55" i="50" s="1"/>
  <c r="D25" i="50"/>
  <c r="F20" i="143" s="1"/>
  <c r="D24" i="50"/>
  <c r="E20" i="143"/>
  <c r="F26" i="64"/>
  <c r="C104" i="39"/>
  <c r="BM301" i="89"/>
  <c r="BN301" i="89" s="1"/>
  <c r="AU234" i="89"/>
  <c r="Q24" i="49"/>
  <c r="P24" i="49" s="1"/>
  <c r="E26" i="64"/>
  <c r="C30" i="95"/>
  <c r="C21" i="95"/>
  <c r="AW234" i="89" l="1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E52" i="50"/>
  <c r="Q162" i="49"/>
  <c r="P162" i="49" s="1"/>
  <c r="E24" i="50"/>
  <c r="Q191" i="49"/>
  <c r="P191" i="49" s="1"/>
  <c r="E53" i="50"/>
  <c r="Q163" i="49"/>
  <c r="P163" i="49" s="1"/>
  <c r="E25" i="50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F23" i="143" l="1"/>
  <c r="Q171" i="49"/>
  <c r="P171" i="49" s="1"/>
  <c r="E33" i="50"/>
  <c r="AO179" i="89" l="1"/>
  <c r="D19" i="137"/>
  <c r="E19" i="137" s="1"/>
  <c r="D34" i="50" s="1"/>
  <c r="AN182" i="89" l="1"/>
  <c r="AU258" i="89" s="1"/>
  <c r="AN181" i="89"/>
  <c r="Q172" i="49"/>
  <c r="P172" i="49" s="1"/>
  <c r="F7" i="123"/>
  <c r="E34" i="50"/>
  <c r="Q11" i="58"/>
  <c r="Q13" i="58" s="1"/>
  <c r="N13" i="58"/>
  <c r="Q37" i="49" s="1"/>
  <c r="P37" i="49" s="1"/>
  <c r="C60" i="64" l="1"/>
  <c r="AO182" i="89"/>
  <c r="C59" i="64"/>
  <c r="AU257" i="89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M30" i="58"/>
  <c r="BJ293" i="89"/>
  <c r="BH297" i="89"/>
  <c r="BJ297" i="89" s="1"/>
  <c r="H4" i="50"/>
  <c r="D60" i="50" s="1"/>
  <c r="H5" i="50"/>
  <c r="D61" i="50" s="1"/>
  <c r="H2" i="50"/>
  <c r="H3" i="50"/>
  <c r="E6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D81" i="50"/>
  <c r="D59" i="50"/>
  <c r="E59" i="50" s="1"/>
  <c r="D58" i="50"/>
  <c r="D67" i="50"/>
  <c r="Q205" i="49" s="1"/>
  <c r="P205" i="49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D83" i="50"/>
  <c r="E83" i="50" s="1"/>
  <c r="D78" i="50"/>
  <c r="D85" i="50"/>
  <c r="E85" i="50" s="1"/>
  <c r="D80" i="50"/>
  <c r="D84" i="50"/>
  <c r="E84" i="50" s="1"/>
  <c r="D79" i="50"/>
  <c r="D82" i="50"/>
  <c r="E82" i="50" s="1"/>
  <c r="D77" i="50"/>
  <c r="D11" i="50"/>
  <c r="E11" i="50" s="1"/>
  <c r="D88" i="50"/>
  <c r="D13" i="50"/>
  <c r="Q151" i="49" s="1"/>
  <c r="P151" i="49" s="1"/>
  <c r="D90" i="50"/>
  <c r="E90" i="50" s="1"/>
  <c r="D12" i="50"/>
  <c r="Q150" i="49" s="1"/>
  <c r="P150" i="49" s="1"/>
  <c r="D89" i="50"/>
  <c r="E89" i="50" s="1"/>
  <c r="D10" i="50"/>
  <c r="D87" i="50"/>
  <c r="E87" i="50" s="1"/>
  <c r="Q201" i="49"/>
  <c r="P201" i="49" s="1"/>
  <c r="E60" i="50"/>
  <c r="Q198" i="49"/>
  <c r="P198" i="49" s="1"/>
  <c r="E61" i="50"/>
  <c r="Q199" i="49"/>
  <c r="P199" i="49" s="1"/>
  <c r="L9" i="51"/>
  <c r="M17" i="51" s="1"/>
  <c r="S29" i="58"/>
  <c r="T29" i="58" s="1"/>
  <c r="N30" i="58"/>
  <c r="AA143" i="89"/>
  <c r="D41" i="50" l="1"/>
  <c r="Q179" i="49" s="1"/>
  <c r="P179" i="49" s="1"/>
  <c r="AN202" i="89"/>
  <c r="C80" i="64" s="1"/>
  <c r="AN199" i="89"/>
  <c r="AU275" i="89" s="1"/>
  <c r="Q217" i="49"/>
  <c r="P217" i="49" s="1"/>
  <c r="E79" i="50"/>
  <c r="Q219" i="49"/>
  <c r="P219" i="49" s="1"/>
  <c r="E81" i="50"/>
  <c r="Q218" i="49"/>
  <c r="P218" i="49" s="1"/>
  <c r="E80" i="50"/>
  <c r="Q226" i="49"/>
  <c r="P226" i="49" s="1"/>
  <c r="E88" i="50"/>
  <c r="Q216" i="49"/>
  <c r="P216" i="49" s="1"/>
  <c r="E78" i="50"/>
  <c r="Q215" i="49"/>
  <c r="P215" i="49" s="1"/>
  <c r="E77" i="50"/>
  <c r="AN204" i="89"/>
  <c r="AU280" i="89" s="1"/>
  <c r="Q220" i="49"/>
  <c r="P220" i="49" s="1"/>
  <c r="AN203" i="89"/>
  <c r="AU279" i="89" s="1"/>
  <c r="E72" i="50"/>
  <c r="AU277" i="89"/>
  <c r="E66" i="50"/>
  <c r="E58" i="50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E67" i="50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E12" i="50"/>
  <c r="E13" i="50"/>
  <c r="Q225" i="49"/>
  <c r="P225" i="49" s="1"/>
  <c r="E10" i="50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AU278" i="89" l="1"/>
  <c r="AW278" i="89" s="1"/>
  <c r="AY278" i="89" s="1"/>
  <c r="AO202" i="89"/>
  <c r="D7" i="50"/>
  <c r="E41" i="50"/>
  <c r="AN188" i="89"/>
  <c r="C66" i="64" s="1"/>
  <c r="D66" i="64" s="1"/>
  <c r="E66" i="64" s="1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D80" i="64"/>
  <c r="E80" i="64" s="1"/>
  <c r="E100" i="64"/>
  <c r="E95" i="64"/>
  <c r="D50" i="64"/>
  <c r="E50" i="64" s="1"/>
  <c r="D54" i="64"/>
  <c r="E54" i="64" s="1"/>
  <c r="D62" i="64"/>
  <c r="E62" i="64" s="1"/>
  <c r="AW283" i="89"/>
  <c r="AY283" i="89" s="1"/>
  <c r="AW282" i="89"/>
  <c r="AY282" i="89" s="1"/>
  <c r="AW280" i="89"/>
  <c r="AY280" i="89" s="1"/>
  <c r="AW279" i="89"/>
  <c r="AY279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E23" i="58" s="1"/>
  <c r="F23" i="58" s="1"/>
  <c r="Q43" i="49" s="1"/>
  <c r="P43" i="49" s="1"/>
  <c r="M60" i="58"/>
  <c r="D5" i="50" l="1"/>
  <c r="AN210" i="89"/>
  <c r="AU294" i="89"/>
  <c r="AN208" i="89"/>
  <c r="AO188" i="89"/>
  <c r="AU264" i="89"/>
  <c r="AW264" i="89" s="1"/>
  <c r="AY264" i="89" s="1"/>
  <c r="C44" i="64"/>
  <c r="D44" i="64" s="1"/>
  <c r="D45" i="64"/>
  <c r="E45" i="64" s="1"/>
  <c r="AW243" i="89"/>
  <c r="AA144" i="89"/>
  <c r="AC141" i="89"/>
  <c r="AC144" i="89" s="1"/>
  <c r="AD141" i="89"/>
  <c r="L13" i="51"/>
  <c r="F24" i="58"/>
  <c r="Q45" i="49"/>
  <c r="P45" i="49" s="1"/>
  <c r="E24" i="58"/>
  <c r="AN211" i="89" l="1"/>
  <c r="D14" i="58"/>
  <c r="E34" i="143" s="1"/>
  <c r="E26" i="58"/>
  <c r="AW284" i="89"/>
  <c r="L12" i="89" s="1"/>
  <c r="AU284" i="89"/>
  <c r="AU295" i="89" s="1"/>
  <c r="L14" i="51"/>
  <c r="C6" i="51" s="1"/>
  <c r="C13" i="51" s="1"/>
  <c r="AY243" i="89"/>
  <c r="E62" i="50"/>
  <c r="M73" i="39"/>
  <c r="L73" i="39"/>
  <c r="D33" i="64"/>
  <c r="AB144" i="89"/>
  <c r="E32" i="143" l="1"/>
  <c r="D15" i="58"/>
  <c r="Q103" i="49" s="1"/>
  <c r="P103" i="49" s="1"/>
  <c r="E44" i="143"/>
  <c r="Q40" i="49"/>
  <c r="P40" i="49" s="1"/>
  <c r="E33" i="143"/>
  <c r="E52" i="143"/>
  <c r="O7" i="51"/>
  <c r="D17" i="64"/>
  <c r="E11" i="143" s="1"/>
  <c r="AY267" i="89"/>
  <c r="Q200" i="49"/>
  <c r="P200" i="49" s="1"/>
  <c r="E14" i="50"/>
  <c r="Q152" i="49"/>
  <c r="P152" i="49" s="1"/>
  <c r="E56" i="50"/>
  <c r="F26" i="143"/>
  <c r="Q194" i="49"/>
  <c r="P194" i="49" s="1"/>
  <c r="O9" i="51"/>
  <c r="F33" i="64"/>
  <c r="AU231" i="89"/>
  <c r="E33" i="64"/>
  <c r="L10" i="89" s="1"/>
  <c r="AE16" i="89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F34" i="143" l="1"/>
  <c r="Q39" i="49"/>
  <c r="P39" i="49" s="1"/>
  <c r="F52" i="143"/>
  <c r="Q88" i="49"/>
  <c r="P88" i="49" s="1"/>
  <c r="F33" i="143"/>
  <c r="Q13" i="49"/>
  <c r="P13" i="49" s="1"/>
  <c r="E60" i="143" s="1"/>
  <c r="F32" i="143"/>
  <c r="F44" i="143"/>
  <c r="D14" i="64"/>
  <c r="D34" i="64" s="1"/>
  <c r="N103" i="89"/>
  <c r="N111" i="89" s="1"/>
  <c r="AU222" i="89"/>
  <c r="AW222" i="89" s="1"/>
  <c r="F17" i="64"/>
  <c r="H42" i="39" s="1"/>
  <c r="E17" i="64"/>
  <c r="O11" i="51"/>
  <c r="AO192" i="89"/>
  <c r="AY265" i="89"/>
  <c r="AO190" i="89"/>
  <c r="G49" i="143"/>
  <c r="G54" i="143" s="1"/>
  <c r="J73" i="39"/>
  <c r="AU230" i="89"/>
  <c r="AV231" i="89"/>
  <c r="AW231" i="89"/>
  <c r="Q89" i="49" l="1"/>
  <c r="P89" i="49" s="1"/>
  <c r="BA238" i="89"/>
  <c r="O103" i="89"/>
  <c r="AV222" i="89"/>
  <c r="AU219" i="89"/>
  <c r="AU237" i="89" s="1"/>
  <c r="AG16" i="89"/>
  <c r="F14" i="64"/>
  <c r="E34" i="64"/>
  <c r="E14" i="64"/>
  <c r="L8" i="89" s="1"/>
  <c r="C5" i="64"/>
  <c r="E57" i="143" s="1"/>
  <c r="Q91" i="49"/>
  <c r="P91" i="49" s="1"/>
  <c r="F34" i="64"/>
  <c r="G26" i="143"/>
  <c r="U9" i="89"/>
  <c r="AV230" i="89"/>
  <c r="AW219" i="89"/>
  <c r="AY222" i="89"/>
  <c r="AW230" i="89"/>
  <c r="AY231" i="89"/>
  <c r="AX219" i="89" l="1"/>
  <c r="AX225" i="89"/>
  <c r="AX226" i="89"/>
  <c r="T29" i="89" s="1"/>
  <c r="AX227" i="89"/>
  <c r="T26" i="89" s="1"/>
  <c r="AV219" i="89"/>
  <c r="U11" i="89"/>
  <c r="U15" i="89" s="1"/>
  <c r="T9" i="89" s="1"/>
  <c r="AU238" i="89"/>
  <c r="AW238" i="89" s="1"/>
  <c r="C7" i="64"/>
  <c r="H1" i="61" s="1"/>
  <c r="C52" i="89"/>
  <c r="C54" i="89" s="1"/>
  <c r="Q93" i="49"/>
  <c r="P93" i="49" s="1"/>
  <c r="AY230" i="89"/>
  <c r="AX223" i="89"/>
  <c r="T27" i="89" s="1"/>
  <c r="AX236" i="89"/>
  <c r="AX220" i="89"/>
  <c r="T24" i="89" s="1"/>
  <c r="AX224" i="89"/>
  <c r="AX234" i="89"/>
  <c r="AX233" i="89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AW240" i="89" l="1"/>
  <c r="AV238" i="89"/>
  <c r="AX238" i="89"/>
  <c r="H1" i="82"/>
  <c r="H1" i="78"/>
  <c r="H1" i="87"/>
  <c r="G1" i="58"/>
  <c r="I1" i="51"/>
  <c r="G1" i="142"/>
  <c r="F1" i="71"/>
  <c r="K1" i="50"/>
  <c r="Q6" i="49"/>
  <c r="P6" i="49" s="1"/>
  <c r="H1" i="25"/>
  <c r="H1" i="137"/>
  <c r="T11" i="89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E18" i="50" l="1"/>
  <c r="Q156" i="49"/>
  <c r="P156" i="49" s="1"/>
  <c r="E15" i="50" l="1"/>
  <c r="Q153" i="49"/>
  <c r="P153" i="49" s="1"/>
  <c r="E16" i="50"/>
  <c r="Q154" i="49"/>
  <c r="P154" i="49" s="1"/>
  <c r="Q155" i="49"/>
  <c r="P155" i="49" s="1"/>
  <c r="E17" i="50"/>
  <c r="E19" i="50" l="1"/>
  <c r="Q157" i="49"/>
  <c r="P157" i="49" s="1"/>
  <c r="F60" i="143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AV294" i="89" s="1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1078" i="85"/>
  <c r="C93" i="85"/>
  <c r="C804" i="85"/>
  <c r="C267" i="85"/>
  <c r="C284" i="85"/>
  <c r="C1684" i="85"/>
  <c r="C321" i="85"/>
  <c r="C1520" i="85"/>
  <c r="C1601" i="85"/>
  <c r="C707" i="85"/>
  <c r="C1288" i="85"/>
  <c r="C477" i="85"/>
  <c r="C320" i="85"/>
  <c r="C906" i="85"/>
  <c r="C281" i="85"/>
  <c r="C217" i="85"/>
  <c r="C1936" i="85"/>
  <c r="C1889" i="85"/>
  <c r="C460" i="85"/>
  <c r="C1855" i="85"/>
  <c r="C1005" i="85"/>
  <c r="C1590" i="85"/>
  <c r="C1117" i="85"/>
  <c r="C1892" i="85"/>
  <c r="C1459" i="85"/>
  <c r="C1622" i="85"/>
  <c r="C1792" i="85"/>
  <c r="C901" i="85"/>
  <c r="C1389" i="85"/>
  <c r="C1026" i="85"/>
  <c r="C630" i="85"/>
  <c r="C1277" i="85"/>
  <c r="C1671" i="85"/>
  <c r="C1752" i="85"/>
  <c r="C1922" i="85"/>
  <c r="C451" i="85"/>
  <c r="C1381" i="85"/>
  <c r="C1063" i="85"/>
  <c r="C179" i="85"/>
  <c r="C525" i="85"/>
  <c r="C1352" i="85"/>
  <c r="C1456" i="85"/>
  <c r="C1431" i="85"/>
  <c r="C535" i="85"/>
  <c r="C1781" i="85"/>
  <c r="C1834" i="85"/>
  <c r="C958" i="85"/>
  <c r="C1179" i="85"/>
  <c r="C1138" i="85"/>
  <c r="C688" i="85"/>
  <c r="C1704" i="85"/>
  <c r="C1405" i="85"/>
  <c r="C1303" i="85"/>
  <c r="C1238" i="85"/>
  <c r="C1106" i="85"/>
  <c r="C1105" i="85"/>
  <c r="C551" i="85"/>
  <c r="C622" i="85"/>
  <c r="C1540" i="85"/>
  <c r="C230" i="85"/>
  <c r="C1174" i="85"/>
  <c r="C792" i="85"/>
  <c r="C607" i="85"/>
  <c r="C1983" i="85"/>
  <c r="C1811" i="85"/>
  <c r="C468" i="85"/>
  <c r="C1318" i="85"/>
  <c r="C1791" i="85"/>
  <c r="C1578" i="85"/>
  <c r="C1896" i="85"/>
  <c r="C1994" i="85"/>
  <c r="C1742" i="85"/>
  <c r="C1927" i="85"/>
  <c r="C1757" i="85"/>
  <c r="C1726" i="85"/>
  <c r="C1462" i="85"/>
  <c r="C550" i="85"/>
  <c r="C1492" i="85"/>
  <c r="C1718" i="85"/>
  <c r="C1028" i="85"/>
  <c r="C1616" i="85"/>
  <c r="C1447" i="85"/>
  <c r="C1613" i="85"/>
  <c r="C1386" i="85"/>
  <c r="C1728" i="85"/>
  <c r="C1363" i="85"/>
  <c r="C1351" i="85"/>
  <c r="C1676" i="85"/>
  <c r="C278" i="85"/>
  <c r="C1987" i="85"/>
  <c r="C33" i="85"/>
  <c r="C1541" i="85"/>
  <c r="C464" i="85"/>
  <c r="C1978" i="85"/>
  <c r="C782" i="85"/>
  <c r="C1222" i="85"/>
  <c r="C1588" i="85"/>
  <c r="C310" i="85"/>
  <c r="C530" i="85"/>
  <c r="C1914" i="85"/>
  <c r="C291" i="85"/>
  <c r="C1200" i="85"/>
  <c r="C971" i="85"/>
  <c r="C172" i="85"/>
  <c r="C702" i="85"/>
  <c r="C195" i="85"/>
  <c r="C1172" i="85"/>
  <c r="C632" i="85"/>
  <c r="C268" i="85"/>
  <c r="C1353" i="85"/>
  <c r="C1401" i="85"/>
  <c r="C796" i="85"/>
  <c r="C1754" i="85"/>
  <c r="C1443" i="85"/>
  <c r="C118" i="85"/>
  <c r="C1569" i="85"/>
  <c r="C1317" i="85"/>
  <c r="C1139" i="85"/>
  <c r="C1980" i="85"/>
  <c r="C1149" i="85"/>
  <c r="C1221" i="85"/>
  <c r="C1614" i="85"/>
  <c r="C841" i="85"/>
  <c r="C189" i="85"/>
  <c r="C556" i="85"/>
  <c r="C1652" i="85"/>
  <c r="C881" i="85"/>
  <c r="C1194" i="85"/>
  <c r="C1282" i="85"/>
  <c r="C1090" i="85"/>
  <c r="C212" i="85"/>
  <c r="C685" i="85"/>
  <c r="C645" i="85"/>
  <c r="C1068" i="85"/>
  <c r="C1779" i="85"/>
  <c r="C1965" i="85"/>
  <c r="C1958" i="85"/>
  <c r="C817" i="85"/>
  <c r="C1015" i="85"/>
  <c r="C952" i="85"/>
  <c r="C499" i="85"/>
  <c r="C1842" i="85"/>
  <c r="C1048" i="85"/>
  <c r="C414" i="85"/>
  <c r="C762" i="85"/>
  <c r="C1546" i="85"/>
  <c r="C1402" i="85"/>
  <c r="C1150" i="85"/>
  <c r="C1152" i="85"/>
  <c r="C1827" i="85"/>
  <c r="C1692" i="85"/>
  <c r="C398" i="85"/>
  <c r="C1942" i="85"/>
  <c r="C1707" i="85"/>
  <c r="C1786" i="85"/>
  <c r="C1473" i="85"/>
  <c r="C1737" i="85"/>
  <c r="C1104" i="85"/>
  <c r="C427" i="85"/>
  <c r="C1002" i="85"/>
  <c r="C1524" i="85"/>
  <c r="C908" i="85"/>
  <c r="C832" i="85"/>
  <c r="C533" i="85"/>
  <c r="C243" i="85"/>
  <c r="C994" i="85"/>
  <c r="C415" i="85"/>
  <c r="C711" i="85"/>
  <c r="C1724" i="85"/>
  <c r="C750" i="85"/>
  <c r="C500" i="85"/>
  <c r="C853" i="85"/>
  <c r="C934" i="85"/>
  <c r="C1843" i="85"/>
  <c r="C591" i="85"/>
  <c r="C349" i="85"/>
  <c r="C1108" i="85"/>
  <c r="C1689" i="85"/>
  <c r="C1687" i="85"/>
  <c r="C1155" i="85"/>
  <c r="C1780" i="85"/>
  <c r="C849" i="85"/>
  <c r="C717" i="85"/>
  <c r="C1947" i="85"/>
  <c r="C882" i="85"/>
  <c r="C655" i="85"/>
  <c r="C1436" i="85"/>
  <c r="C1917" i="85"/>
  <c r="C1364" i="85"/>
  <c r="C1223" i="85"/>
  <c r="C774" i="85"/>
  <c r="C316" i="85"/>
  <c r="C1598" i="85"/>
  <c r="C829" i="85"/>
  <c r="C1528" i="85"/>
  <c r="C389" i="85"/>
  <c r="C407" i="85"/>
  <c r="C332" i="85"/>
  <c r="C197" i="85"/>
  <c r="C473" i="85"/>
  <c r="C532" i="85"/>
  <c r="C862" i="85"/>
  <c r="C1387" i="85"/>
  <c r="C845" i="85"/>
  <c r="C1306" i="85"/>
  <c r="C1787" i="85"/>
  <c r="C56" i="85"/>
  <c r="C1119" i="85"/>
  <c r="C1774" i="85"/>
  <c r="C756" i="85"/>
  <c r="C1512" i="85"/>
  <c r="C670" i="85"/>
  <c r="C1862" i="85"/>
  <c r="C375" i="85"/>
  <c r="C1136" i="85"/>
  <c r="C529" i="85"/>
  <c r="C628" i="85"/>
  <c r="C1197" i="85"/>
  <c r="C204" i="85"/>
  <c r="C1129" i="85"/>
  <c r="C569" i="85"/>
  <c r="C211" i="85"/>
  <c r="C1054" i="85"/>
  <c r="C200" i="85"/>
  <c r="C91" i="85"/>
  <c r="C1905" i="85"/>
  <c r="C834" i="85"/>
  <c r="C1432" i="85"/>
  <c r="C716" i="85"/>
  <c r="C1173" i="85"/>
  <c r="C418" i="85"/>
  <c r="C42" i="85"/>
  <c r="C719" i="85"/>
  <c r="C440" i="85"/>
  <c r="C1301" i="85"/>
  <c r="C1508" i="85"/>
  <c r="C174" i="85"/>
  <c r="C1372" i="85"/>
  <c r="C1974" i="85"/>
  <c r="C727" i="85"/>
  <c r="C1924" i="85"/>
  <c r="C562" i="85"/>
  <c r="C921" i="85"/>
  <c r="C333" i="85"/>
  <c r="C1498" i="85"/>
  <c r="C1945" i="85"/>
  <c r="C1760" i="85"/>
  <c r="C704" i="85"/>
  <c r="C1696" i="85"/>
  <c r="C657" i="85"/>
  <c r="C1382" i="85"/>
  <c r="C863" i="85"/>
  <c r="C1165" i="85"/>
  <c r="C617" i="85"/>
  <c r="C990" i="85"/>
  <c r="C956" i="85"/>
  <c r="C1560" i="85"/>
  <c r="C1196" i="85"/>
  <c r="C951" i="85"/>
  <c r="C306" i="85"/>
  <c r="C725" i="85"/>
  <c r="C358" i="85"/>
  <c r="C1053" i="85"/>
  <c r="C1745" i="85"/>
  <c r="C887" i="85"/>
  <c r="C491" i="85"/>
  <c r="C1814" i="85"/>
  <c r="C1845" i="85"/>
  <c r="C1322" i="85"/>
  <c r="C1468" i="85"/>
  <c r="C1695" i="85"/>
  <c r="C1490" i="85"/>
  <c r="C1976" i="85"/>
  <c r="C837" i="85"/>
  <c r="C1734" i="85"/>
  <c r="C1644" i="85"/>
  <c r="C1623" i="85"/>
  <c r="C557" i="85"/>
  <c r="C40" i="85"/>
  <c r="C658" i="85"/>
  <c r="C1127" i="85"/>
  <c r="C1307" i="85"/>
  <c r="C1270" i="85"/>
  <c r="C1866" i="85"/>
  <c r="C1986" i="85"/>
  <c r="C913" i="85"/>
  <c r="C1276" i="85"/>
  <c r="C981" i="85"/>
  <c r="C1683" i="85"/>
  <c r="C1135" i="85"/>
  <c r="C889" i="85"/>
  <c r="C1664" i="85"/>
  <c r="C676" i="85"/>
  <c r="C383" i="85"/>
  <c r="C1319" i="85"/>
  <c r="C1773" i="85"/>
  <c r="C582" i="85"/>
  <c r="C352" i="85"/>
  <c r="C558" i="85"/>
  <c r="C1101" i="85"/>
  <c r="C1452" i="85"/>
  <c r="C1337" i="85"/>
  <c r="C648" i="85"/>
  <c r="C1907" i="85"/>
  <c r="C371" i="85"/>
  <c r="C1543" i="85"/>
  <c r="C1461" i="85"/>
  <c r="C610" i="85"/>
  <c r="C510" i="85"/>
  <c r="C1095" i="85"/>
  <c r="C1950" i="85"/>
  <c r="C1501" i="85"/>
  <c r="C2000" i="85"/>
  <c r="C1610" i="85"/>
  <c r="C430" i="85"/>
  <c r="C92" i="85"/>
  <c r="C581" i="85"/>
  <c r="C436" i="85"/>
  <c r="C590" i="85"/>
  <c r="C910" i="85"/>
  <c r="C1804" i="85"/>
  <c r="C950" i="85"/>
  <c r="C714" i="85"/>
  <c r="C788" i="85"/>
  <c r="C1358" i="85"/>
  <c r="C1670" i="85"/>
  <c r="C1418" i="85"/>
  <c r="C514" i="85"/>
  <c r="C1111" i="85"/>
  <c r="C1408" i="85"/>
  <c r="C1820" i="85"/>
  <c r="C1595" i="85"/>
  <c r="C924" i="85"/>
  <c r="C1797" i="85"/>
  <c r="C1503" i="85"/>
  <c r="C1988" i="85"/>
  <c r="C608" i="85"/>
  <c r="C770" i="85"/>
  <c r="C1885" i="85"/>
  <c r="C1513" i="85"/>
  <c r="C1997" i="85"/>
  <c r="C445" i="85"/>
  <c r="C652" i="85"/>
  <c r="C169" i="85"/>
  <c r="C47" i="85"/>
  <c r="C897" i="85"/>
  <c r="C1487" i="85"/>
  <c r="C574" i="85"/>
  <c r="C1558" i="85"/>
  <c r="C549" i="85"/>
  <c r="C1433" i="85"/>
  <c r="C459" i="85"/>
  <c r="C653" i="85"/>
  <c r="C1263" i="85"/>
  <c r="C314" i="85"/>
  <c r="C1189" i="85"/>
  <c r="C1415" i="85"/>
  <c r="C1400" i="85"/>
  <c r="C1534" i="85"/>
  <c r="C233" i="85"/>
  <c r="C173" i="85"/>
  <c r="C857" i="85"/>
  <c r="C697" i="85"/>
  <c r="C1712" i="85"/>
  <c r="C58" i="85"/>
  <c r="C1227" i="85"/>
  <c r="C1422" i="85"/>
  <c r="C78" i="85"/>
  <c r="C1690" i="85"/>
  <c r="C452" i="85"/>
  <c r="C214" i="85"/>
  <c r="C1891" i="85"/>
  <c r="C960" i="85"/>
  <c r="C478" i="85"/>
  <c r="C1785" i="85"/>
  <c r="C769" i="85"/>
  <c r="C1957" i="85"/>
  <c r="C318" i="85"/>
  <c r="C475" i="85"/>
  <c r="C1955" i="85"/>
  <c r="C1881" i="85"/>
  <c r="C534" i="85"/>
  <c r="C583" i="85"/>
  <c r="C64" i="85"/>
  <c r="C1991" i="85"/>
  <c r="C1665" i="85"/>
  <c r="C636" i="85"/>
  <c r="C700" i="85"/>
  <c r="C595" i="85"/>
  <c r="C1721" i="85"/>
  <c r="C765" i="85"/>
  <c r="C1523" i="85"/>
  <c r="C408" i="85"/>
  <c r="C1807" i="85"/>
  <c r="C1903" i="85"/>
  <c r="C677" i="85"/>
  <c r="C1056" i="85"/>
  <c r="C181" i="85"/>
  <c r="C1012" i="85"/>
  <c r="C425" i="85"/>
  <c r="C828" i="85"/>
  <c r="C1096" i="85"/>
  <c r="C1010" i="85"/>
  <c r="C485" i="85"/>
  <c r="C1370" i="85"/>
  <c r="C1268" i="85"/>
  <c r="C1697" i="85"/>
  <c r="C773" i="85"/>
  <c r="C1699" i="85"/>
  <c r="C439" i="85"/>
  <c r="C1294" i="85"/>
  <c r="C506" i="85"/>
  <c r="C1235" i="85"/>
  <c r="C1591" i="85"/>
  <c r="C737" i="85"/>
  <c r="C955" i="85"/>
  <c r="C755" i="85"/>
  <c r="C1609" i="85"/>
  <c r="C1755" i="85"/>
  <c r="C712" i="85"/>
  <c r="C239" i="85"/>
  <c r="C1052" i="85"/>
  <c r="C370" i="85"/>
  <c r="C1083" i="85"/>
  <c r="C1086" i="85"/>
  <c r="C977" i="85"/>
  <c r="C1050" i="85"/>
  <c r="C682" i="85"/>
  <c r="C1901" i="85"/>
  <c r="C1949" i="85"/>
  <c r="C1570" i="85"/>
  <c r="C886" i="85"/>
  <c r="C1158" i="85"/>
  <c r="C576" i="85"/>
  <c r="C879" i="85"/>
  <c r="C80" i="85"/>
  <c r="C1141" i="85"/>
  <c r="C1608" i="85"/>
  <c r="C1482" i="85"/>
  <c r="C1192" i="85"/>
  <c r="C1816" i="85"/>
  <c r="C1908" i="85"/>
  <c r="C587" i="85"/>
  <c r="C996" i="85"/>
  <c r="C979" i="85"/>
  <c r="C1171" i="85"/>
  <c r="C709" i="85"/>
  <c r="C516" i="85"/>
  <c r="C1074" i="85"/>
  <c r="C1573" i="85"/>
  <c r="C1993" i="85"/>
  <c r="C603" i="85"/>
  <c r="C1181" i="85"/>
  <c r="C1882" i="85"/>
  <c r="C305" i="85"/>
  <c r="C620" i="85"/>
  <c r="C1234" i="85"/>
  <c r="C1344" i="85"/>
  <c r="C1709" i="85"/>
  <c r="C823" i="85"/>
  <c r="C1332" i="85"/>
  <c r="C559" i="85"/>
  <c r="C120" i="85"/>
  <c r="C1603" i="85"/>
  <c r="C1102" i="85"/>
  <c r="C1037" i="85"/>
  <c r="C338" i="85"/>
  <c r="C1071" i="85"/>
  <c r="C348" i="85"/>
  <c r="C401" i="85"/>
  <c r="C975" i="85"/>
  <c r="C637" i="85"/>
  <c r="C1756" i="85"/>
  <c r="C1701" i="85"/>
  <c r="C802" i="85"/>
  <c r="C419" i="85"/>
  <c r="C1252" i="85"/>
  <c r="C1777" i="85"/>
  <c r="C618" i="85"/>
  <c r="C793" i="85"/>
  <c r="C1321" i="85"/>
  <c r="C241" i="85"/>
  <c r="C1494" i="85"/>
  <c r="C1009" i="85"/>
  <c r="C387" i="85"/>
  <c r="C728" i="85"/>
  <c r="C611" i="85"/>
  <c r="C1979" i="85"/>
  <c r="C1126" i="85"/>
  <c r="C989" i="85"/>
  <c r="C1932" i="85"/>
  <c r="C265" i="85"/>
  <c r="C277" i="85"/>
  <c r="C747" i="85"/>
  <c r="C821" i="85"/>
  <c r="C1996" i="85"/>
  <c r="C1642" i="85"/>
  <c r="C1925" i="85"/>
  <c r="C1001" i="85"/>
  <c r="C1248" i="85"/>
  <c r="C1356" i="85"/>
  <c r="C1657" i="85"/>
  <c r="C696" i="85"/>
  <c r="C1812" i="85"/>
  <c r="C1380" i="85"/>
  <c r="C298" i="85"/>
  <c r="C660" i="85"/>
  <c r="C392" i="85"/>
  <c r="C1385" i="85"/>
  <c r="C1414" i="85"/>
  <c r="C1258" i="85"/>
  <c r="C347" i="85"/>
  <c r="C424" i="85"/>
  <c r="C1561" i="85"/>
  <c r="C1552" i="85"/>
  <c r="C1297" i="85"/>
  <c r="C1207" i="85"/>
  <c r="C1938" i="85"/>
  <c r="C1004" i="85"/>
  <c r="C787" i="85"/>
  <c r="C794" i="85"/>
  <c r="C309" i="85"/>
  <c r="C1674" i="85"/>
  <c r="C891" i="85"/>
  <c r="C1564" i="85"/>
  <c r="C1639" i="85"/>
  <c r="C785" i="85"/>
  <c r="C776" i="85"/>
  <c r="C777" i="85"/>
  <c r="C867" i="85"/>
  <c r="C1574" i="85"/>
  <c r="C1449" i="85"/>
  <c r="C1425" i="85"/>
  <c r="C466" i="85"/>
  <c r="C1532" i="85"/>
  <c r="C227" i="85"/>
  <c r="C1835" i="85"/>
  <c r="C758" i="85"/>
  <c r="C1565" i="85"/>
  <c r="C939" i="85"/>
  <c r="C1312" i="85"/>
  <c r="C422" i="85"/>
  <c r="C1329" i="85"/>
  <c r="C1732" i="85"/>
  <c r="C703" i="85"/>
  <c r="C1206" i="85"/>
  <c r="C1944" i="85"/>
  <c r="C1640" i="85"/>
  <c r="C1851" i="85"/>
  <c r="C831" i="85"/>
  <c r="C365" i="85"/>
  <c r="C932" i="85"/>
  <c r="C454" i="85"/>
  <c r="C552" i="85"/>
  <c r="C280" i="85"/>
  <c r="C791" i="85"/>
  <c r="C811" i="85"/>
  <c r="C790" i="85"/>
  <c r="C1824" i="85"/>
  <c r="C1956" i="85"/>
  <c r="C67" i="85"/>
  <c r="C1874" i="85"/>
  <c r="C789" i="85"/>
  <c r="C1079" i="85"/>
  <c r="C639" i="85"/>
  <c r="C1291" i="85"/>
  <c r="C34" i="85"/>
  <c r="C1708" i="85"/>
  <c r="C894" i="85"/>
  <c r="C222" i="85"/>
  <c r="C492" i="85"/>
  <c r="C1084" i="85"/>
  <c r="C1232" i="85"/>
  <c r="C1281" i="85"/>
  <c r="C1308" i="85"/>
  <c r="C446" i="85"/>
  <c r="C1287" i="85"/>
  <c r="C486" i="85"/>
  <c r="C1362" i="85"/>
  <c r="C937" i="85"/>
  <c r="C1283" i="85"/>
  <c r="C1516" i="85"/>
  <c r="C880" i="85"/>
  <c r="C1641" i="85"/>
  <c r="C1465" i="85"/>
  <c r="C1656" i="85"/>
  <c r="C543" i="85"/>
  <c r="C303" i="85"/>
  <c r="C323" i="85"/>
  <c r="C1895" i="85"/>
  <c r="C247" i="85"/>
  <c r="C1859" i="85"/>
  <c r="C1406" i="85"/>
  <c r="C1975" i="85"/>
  <c r="C1397" i="85"/>
  <c r="C1984" i="85"/>
  <c r="C537" i="85"/>
  <c r="C1497" i="85"/>
  <c r="C1262" i="85"/>
  <c r="C1577" i="85"/>
  <c r="C359" i="85"/>
  <c r="C186" i="85"/>
  <c r="C1647" i="85"/>
  <c r="C810" i="85"/>
  <c r="C1472" i="85"/>
  <c r="C1293" i="85"/>
  <c r="C168" i="85"/>
  <c r="C79" i="85"/>
  <c r="C816" i="85"/>
  <c r="C1655" i="85"/>
  <c r="C579" i="85"/>
  <c r="C1460" i="85"/>
  <c r="C903" i="85"/>
  <c r="C1451" i="85"/>
  <c r="C715" i="85"/>
  <c r="C1354" i="85"/>
  <c r="C940" i="85"/>
  <c r="C390" i="85"/>
  <c r="C297" i="85"/>
  <c r="C691" i="85"/>
  <c r="C292" i="85"/>
  <c r="C480" i="85"/>
  <c r="C1682" i="85"/>
  <c r="C201" i="85"/>
  <c r="C1727" i="85"/>
  <c r="C1626" i="85"/>
  <c r="C1822" i="85"/>
  <c r="C1868" i="85"/>
  <c r="C1663" i="85"/>
  <c r="C1034" i="85"/>
  <c r="C1584" i="85"/>
  <c r="C253" i="85"/>
  <c r="C851" i="85"/>
  <c r="C1953" i="85"/>
  <c r="C487" i="85"/>
  <c r="C116" i="85"/>
  <c r="C1265" i="85"/>
  <c r="C1916" i="85"/>
  <c r="C935" i="85"/>
  <c r="C356" i="85"/>
  <c r="C226" i="85"/>
  <c r="C1187" i="85"/>
  <c r="C354" i="85"/>
  <c r="C1761" i="85"/>
  <c r="C1606" i="85"/>
  <c r="C944" i="85"/>
  <c r="C693" i="85"/>
  <c r="C1191" i="85"/>
  <c r="C1121" i="85"/>
  <c r="C1115" i="85"/>
  <c r="C1185" i="85"/>
  <c r="C1435" i="85"/>
  <c r="C980" i="85"/>
  <c r="C353" i="85"/>
  <c r="C775" i="85"/>
  <c r="C1481" i="85"/>
  <c r="C953" i="85"/>
  <c r="C1411" i="85"/>
  <c r="C967" i="85"/>
  <c r="C1183" i="85"/>
  <c r="C428" i="85"/>
  <c r="C1784" i="85"/>
  <c r="C61" i="85"/>
  <c r="C412" i="85"/>
  <c r="C1744" i="85"/>
  <c r="C1897" i="85"/>
  <c r="C1180" i="85"/>
  <c r="C1254" i="85"/>
  <c r="C1186" i="85"/>
  <c r="C1504" i="85"/>
  <c r="C191" i="85"/>
  <c r="C438" i="85"/>
  <c r="C442" i="85"/>
  <c r="C531" i="85"/>
  <c r="C1514" i="85"/>
  <c r="C613" i="85"/>
  <c r="C911" i="85"/>
  <c r="C1883" i="85"/>
  <c r="C1229" i="85"/>
  <c r="C311" i="85"/>
  <c r="C448" i="85"/>
  <c r="C327" i="85"/>
  <c r="C350" i="85"/>
  <c r="C218" i="85"/>
  <c r="C170" i="85"/>
  <c r="C1738" i="85"/>
  <c r="C808" i="85"/>
  <c r="C1836" i="85"/>
  <c r="C449" i="85"/>
  <c r="C1995" i="85"/>
  <c r="C1559" i="85"/>
  <c r="C781" i="85"/>
  <c r="C1998" i="85"/>
  <c r="C453" i="85"/>
  <c r="C178" i="85"/>
  <c r="C199" i="85"/>
  <c r="C1285" i="85"/>
  <c r="C1467" i="85"/>
  <c r="C399" i="85"/>
  <c r="C1097" i="85"/>
  <c r="C1292" i="85"/>
  <c r="C1309" i="85"/>
  <c r="C1837" i="85"/>
  <c r="C522" i="85"/>
  <c r="C1865" i="85"/>
  <c r="C232" i="85"/>
  <c r="C1662" i="85"/>
  <c r="C573" i="85"/>
  <c r="C1142" i="85"/>
  <c r="C1886" i="85"/>
  <c r="C1237" i="85"/>
  <c r="C1910" i="85"/>
  <c r="C1923" i="85"/>
  <c r="C1530" i="85"/>
  <c r="C825" i="85"/>
  <c r="C1000" i="85"/>
  <c r="C734" i="85"/>
  <c r="C507" i="85"/>
  <c r="C246" i="85"/>
  <c r="C431" i="85"/>
  <c r="C554" i="85"/>
  <c r="C708" i="85"/>
  <c r="C1952" i="85"/>
  <c r="C336" i="85"/>
  <c r="C1125" i="85"/>
  <c r="C234" i="85"/>
  <c r="C662" i="85"/>
  <c r="C1295" i="85"/>
  <c r="C874" i="85"/>
  <c r="C1849" i="85"/>
  <c r="C1148" i="85"/>
  <c r="C205" i="85"/>
  <c r="C319" i="85"/>
  <c r="C1713" i="85"/>
  <c r="C1298" i="85"/>
  <c r="C1599" i="85"/>
  <c r="C1423" i="85"/>
  <c r="C231" i="85"/>
  <c r="C686" i="85"/>
  <c r="C1536" i="85"/>
  <c r="C1829" i="85"/>
  <c r="C396" i="85"/>
  <c r="C577" i="85"/>
  <c r="C1741" i="85"/>
  <c r="C527" i="85"/>
  <c r="C1876" i="85"/>
  <c r="C1259" i="85"/>
  <c r="C1545" i="85"/>
  <c r="C1672" i="85"/>
  <c r="C684" i="85"/>
  <c r="C1659" i="85"/>
  <c r="C1483" i="85"/>
  <c r="C1255" i="85"/>
  <c r="C1971" i="85"/>
  <c r="C1661" i="85"/>
  <c r="C1638" i="85"/>
  <c r="C215" i="85"/>
  <c r="C1831" i="85"/>
  <c r="C1029" i="85"/>
  <c r="C1966" i="85"/>
  <c r="C48" i="85"/>
  <c r="C1203" i="85"/>
  <c r="C1060" i="85"/>
  <c r="C373" i="85"/>
  <c r="C1383" i="85"/>
  <c r="C1160" i="85"/>
  <c r="C432" i="85"/>
  <c r="C1162" i="85"/>
  <c r="C508" i="85"/>
  <c r="C656" i="85"/>
  <c r="C861" i="85"/>
  <c r="C614" i="85"/>
  <c r="C1399" i="85"/>
  <c r="C1007" i="85"/>
  <c r="C1767" i="85"/>
  <c r="C1081" i="85"/>
  <c r="C813" i="85"/>
  <c r="C1246" i="85"/>
  <c r="C594" i="85"/>
  <c r="C1778" i="85"/>
  <c r="C1333" i="85"/>
  <c r="C1122" i="85"/>
  <c r="C341" i="85"/>
  <c r="C409" i="85"/>
  <c r="C625" i="85"/>
  <c r="C1861" i="85"/>
  <c r="C1959" i="85"/>
  <c r="C1857" i="85"/>
  <c r="C1143" i="85"/>
  <c r="C1087" i="85"/>
  <c r="C1736" i="85"/>
  <c r="C1315" i="85"/>
  <c r="C1393" i="85"/>
  <c r="C612" i="85"/>
  <c r="C586" i="85"/>
  <c r="C1729" i="85"/>
  <c r="C360" i="85"/>
  <c r="C1453" i="85"/>
  <c r="C1873" i="85"/>
  <c r="C1625" i="85"/>
  <c r="C1826" i="85"/>
  <c r="C443" i="85"/>
  <c r="C830" i="85"/>
  <c r="C1933" i="85"/>
  <c r="C1031" i="85"/>
  <c r="C521" i="85"/>
  <c r="C846" i="85"/>
  <c r="C650" i="85"/>
  <c r="C1948" i="85"/>
  <c r="C838" i="85"/>
  <c r="C1444" i="85"/>
  <c r="C1934" i="85"/>
  <c r="C1157" i="85"/>
  <c r="C564" i="85"/>
  <c r="C1815" i="85"/>
  <c r="C1305" i="85"/>
  <c r="C207" i="85"/>
  <c r="C1502" i="85"/>
  <c r="C1438" i="85"/>
  <c r="C1977" i="85"/>
  <c r="C890" i="85"/>
  <c r="C1818" i="85"/>
  <c r="C1342" i="85"/>
  <c r="C1464" i="85"/>
  <c r="C673" i="85"/>
  <c r="C512" i="85"/>
  <c r="C1421" i="85"/>
  <c r="C1544" i="85"/>
  <c r="C1911" i="85"/>
  <c r="C1542" i="85"/>
  <c r="C1962" i="85"/>
  <c r="C745" i="85"/>
  <c r="C1367" i="85"/>
  <c r="C749" i="85"/>
  <c r="C646" i="85"/>
  <c r="C1036" i="85"/>
  <c r="C1691" i="85"/>
  <c r="C1743" i="85"/>
  <c r="C963" i="85"/>
  <c r="C767" i="85"/>
  <c r="C926" i="85"/>
  <c r="C560" i="85"/>
  <c r="C190" i="85"/>
  <c r="C942" i="85"/>
  <c r="C600" i="85"/>
  <c r="C692" i="85"/>
  <c r="C476" i="85"/>
  <c r="C296" i="85"/>
  <c r="C1580" i="85"/>
  <c r="C1803" i="85"/>
  <c r="C1677" i="85"/>
  <c r="C1739" i="85"/>
  <c r="C1163" i="85"/>
  <c r="C1311" i="85"/>
  <c r="C584" i="85"/>
  <c r="C1243" i="85"/>
  <c r="C308" i="85"/>
  <c r="C364" i="85"/>
  <c r="C260" i="85"/>
  <c r="C1275" i="85"/>
  <c r="C124" i="85"/>
  <c r="C1154" i="85"/>
  <c r="C490" i="85"/>
  <c r="C1730" i="85"/>
  <c r="C410" i="85"/>
  <c r="C1759" i="85"/>
  <c r="C394" i="85"/>
  <c r="C1612" i="85"/>
  <c r="C1900" i="85"/>
  <c r="C456" i="85"/>
  <c r="C1510" i="85"/>
  <c r="C1049" i="85"/>
  <c r="C1748" i="85"/>
  <c r="C1361" i="85"/>
  <c r="C1214" i="85"/>
  <c r="C1375" i="85"/>
  <c r="C244" i="85"/>
  <c r="C1763" i="85"/>
  <c r="C1376" i="85"/>
  <c r="C973" i="85"/>
  <c r="C1582" i="85"/>
  <c r="C176" i="85"/>
  <c r="C1596" i="85"/>
  <c r="C463" i="85"/>
  <c r="C208" i="85"/>
  <c r="C391" i="85"/>
  <c r="C1879" i="85"/>
  <c r="C240" i="85"/>
  <c r="C665" i="85"/>
  <c r="C601" i="85"/>
  <c r="C250" i="85"/>
  <c r="C1114" i="85"/>
  <c r="C470" i="85"/>
  <c r="C1409" i="85"/>
  <c r="C219" i="85"/>
  <c r="C337" i="85"/>
  <c r="C1046" i="85"/>
  <c r="C814" i="85"/>
  <c r="C1805" i="85"/>
  <c r="C1208" i="85"/>
  <c r="C738" i="85"/>
  <c r="C1632" i="85"/>
  <c r="C959" i="85"/>
  <c r="C760" i="85"/>
  <c r="C922" i="85"/>
  <c r="C824" i="85"/>
  <c r="C1931" i="85"/>
  <c r="C76" i="85"/>
  <c r="C326" i="85"/>
  <c r="C1506" i="85"/>
  <c r="C964" i="85"/>
  <c r="C1679" i="85"/>
  <c r="C86" i="85"/>
  <c r="C754" i="85"/>
  <c r="C1884" i="85"/>
  <c r="C1686" i="85"/>
  <c r="C1685" i="85"/>
  <c r="C287" i="85"/>
  <c r="C1210" i="85"/>
  <c r="C609" i="85"/>
  <c r="C1404" i="85"/>
  <c r="C1365" i="85"/>
  <c r="C848" i="85"/>
  <c r="C575" i="85"/>
  <c r="C1585" i="85"/>
  <c r="C629" i="85"/>
  <c r="C171" i="85"/>
  <c r="C1702" i="85"/>
  <c r="C827" i="85"/>
  <c r="C1967" i="85"/>
  <c r="C784" i="85"/>
  <c r="C1631" i="85"/>
  <c r="C300" i="85"/>
  <c r="C301" i="85"/>
  <c r="C1062" i="85"/>
  <c r="C1335" i="85"/>
  <c r="C1833" i="85"/>
  <c r="C1061" i="85"/>
  <c r="C599" i="85"/>
  <c r="C335" i="85"/>
  <c r="C315" i="85"/>
  <c r="C588" i="85"/>
  <c r="C664" i="85"/>
  <c r="C1190" i="85"/>
  <c r="C993" i="85"/>
  <c r="C128" i="85"/>
  <c r="C1384" i="85"/>
  <c r="C1202" i="85"/>
  <c r="C870" i="85"/>
  <c r="C1587" i="85"/>
  <c r="C307" i="85"/>
  <c r="C270" i="85"/>
  <c r="C1264" i="85"/>
  <c r="C1915" i="85"/>
  <c r="C177" i="85"/>
  <c r="C1715" i="85"/>
  <c r="C962" i="85"/>
  <c r="C324" i="85"/>
  <c r="C366" i="85"/>
  <c r="C264" i="85"/>
  <c r="C469" i="85"/>
  <c r="C1439" i="85"/>
  <c r="C604" i="85"/>
  <c r="C678" i="85"/>
  <c r="C898" i="85"/>
  <c r="C75" i="85"/>
  <c r="C1025" i="85"/>
  <c r="C252" i="85"/>
  <c r="C1394" i="85"/>
  <c r="C1789" i="85"/>
  <c r="C1244" i="85"/>
  <c r="C803" i="85"/>
  <c r="C363" i="85"/>
  <c r="C568" i="85"/>
  <c r="C1643" i="85"/>
  <c r="C1887" i="85"/>
  <c r="C1045" i="85"/>
  <c r="C1024" i="85"/>
  <c r="C1549" i="85"/>
  <c r="C295" i="85"/>
  <c r="C966" i="85"/>
  <c r="C1368" i="85"/>
  <c r="C877" i="85"/>
  <c r="C819" i="85"/>
  <c r="C1485" i="85"/>
  <c r="C1033" i="85"/>
  <c r="C444" i="85"/>
  <c r="C619" i="85"/>
  <c r="C1175" i="85"/>
  <c r="C274" i="85"/>
  <c r="C1790" i="85"/>
  <c r="C1969" i="85"/>
  <c r="C1852" i="85"/>
  <c r="C509" i="85"/>
  <c r="C1710" i="85"/>
  <c r="C580" i="85"/>
  <c r="C1589" i="85"/>
  <c r="C1681" i="85"/>
  <c r="C1968" i="85"/>
  <c r="C237" i="85"/>
  <c r="C654" i="85"/>
  <c r="C520" i="85"/>
  <c r="C1011" i="85"/>
  <c r="C933" i="85"/>
  <c r="C1864" i="85"/>
  <c r="C1798" i="85"/>
  <c r="C638" i="85"/>
  <c r="C483" i="85"/>
  <c r="C351" i="85"/>
  <c r="C1529" i="85"/>
  <c r="C1020" i="85"/>
  <c r="C192" i="85"/>
  <c r="C783" i="85"/>
  <c r="C732" i="85"/>
  <c r="C1605" i="85"/>
  <c r="C757" i="85"/>
  <c r="C1178" i="85"/>
  <c r="C1906" i="85"/>
  <c r="C833" i="85"/>
  <c r="C1722" i="85"/>
  <c r="C592" i="85"/>
  <c r="C1039" i="85"/>
  <c r="C1867" i="85"/>
  <c r="C1480" i="85"/>
  <c r="C988" i="85"/>
  <c r="C1711" i="85"/>
  <c r="C1156" i="85"/>
  <c r="C294" i="85"/>
  <c r="C325" i="85"/>
  <c r="C764" i="85"/>
  <c r="C1776" i="85"/>
  <c r="C313" i="85"/>
  <c r="C954" i="85"/>
  <c r="C1284" i="85"/>
  <c r="C1299" i="85"/>
  <c r="C1099" i="85"/>
  <c r="C1316" i="85"/>
  <c r="C674" i="85"/>
  <c r="C694" i="85"/>
  <c r="C1457" i="85"/>
  <c r="C1427" i="85"/>
  <c r="C1801" i="85"/>
  <c r="C1477" i="85"/>
  <c r="C1844" i="85"/>
  <c r="C1636" i="85"/>
  <c r="C1279" i="85"/>
  <c r="C1051" i="85"/>
  <c r="C1680" i="85"/>
  <c r="C1648" i="85"/>
  <c r="C1109" i="85"/>
  <c r="C84" i="85"/>
  <c r="C739" i="85"/>
  <c r="C706" i="85"/>
  <c r="C1044" i="85"/>
  <c r="C1621" i="85"/>
  <c r="C474" i="85"/>
  <c r="C986" i="85"/>
  <c r="C992" i="85"/>
  <c r="C1796" i="85"/>
  <c r="C1377" i="85"/>
  <c r="C1224" i="85"/>
  <c r="C965" i="85"/>
  <c r="C193" i="85"/>
  <c r="C1660" i="85"/>
  <c r="C751" i="85"/>
  <c r="C417" i="85"/>
  <c r="C761" i="85"/>
  <c r="C731" i="85"/>
  <c r="C597" i="85"/>
  <c r="C83" i="85"/>
  <c r="C1567" i="85"/>
  <c r="C1890" i="85"/>
  <c r="C1770" i="85"/>
  <c r="C1878" i="85"/>
  <c r="C1766" i="85"/>
  <c r="C1140" i="85"/>
  <c r="C1220" i="85"/>
  <c r="C376" i="85"/>
  <c r="C1211" i="85"/>
  <c r="C1771" i="85"/>
  <c r="C701" i="85"/>
  <c r="C743" i="85"/>
  <c r="C983" i="85"/>
  <c r="C621" i="85"/>
  <c r="C907" i="85"/>
  <c r="C946" i="85"/>
  <c r="C69" i="85"/>
  <c r="C1830" i="85"/>
  <c r="C1693" i="85"/>
  <c r="C266" i="85"/>
  <c r="C1314" i="85"/>
  <c r="C1620" i="85"/>
  <c r="C1869" i="85"/>
  <c r="C1040" i="85"/>
  <c r="C1872" i="85"/>
  <c r="C1216" i="85"/>
  <c r="C1100" i="85"/>
  <c r="C293" i="85"/>
  <c r="C923" i="85"/>
  <c r="C1583" i="85"/>
  <c r="C864" i="85"/>
  <c r="C873" i="85"/>
  <c r="C1556" i="85"/>
  <c r="C1832" i="85"/>
  <c r="C1013" i="85"/>
  <c r="C1794" i="85"/>
  <c r="C545" i="85"/>
  <c r="C245" i="85"/>
  <c r="C1205" i="85"/>
  <c r="C795" i="85"/>
  <c r="C1082" i="85"/>
  <c r="C1576" i="85"/>
  <c r="C927" i="85"/>
  <c r="C1450" i="85"/>
  <c r="C484" i="85"/>
  <c r="C368" i="85"/>
  <c r="C501" i="85"/>
  <c r="C1593" i="85"/>
  <c r="C1850" i="85"/>
  <c r="C1330" i="85"/>
  <c r="C917" i="85"/>
  <c r="C1817" i="85"/>
  <c r="C1972" i="85"/>
  <c r="C1272" i="85"/>
  <c r="C74" i="85"/>
  <c r="C41" i="85"/>
  <c r="C1673" i="85"/>
  <c r="C1799" i="85"/>
  <c r="C1065" i="85"/>
  <c r="C909" i="85"/>
  <c r="C995" i="85"/>
  <c r="C1651" i="85"/>
  <c r="C1926" i="85"/>
  <c r="C1875" i="85"/>
  <c r="C1167" i="85"/>
  <c r="C1747" i="85"/>
  <c r="C1547" i="85"/>
  <c r="C1446" i="85"/>
  <c r="C1509" i="85"/>
  <c r="C888" i="85"/>
  <c r="C1429" i="85"/>
  <c r="C1247" i="85"/>
  <c r="C273" i="85"/>
  <c r="C1014" i="85"/>
  <c r="C1634" i="85"/>
  <c r="C1089" i="85"/>
  <c r="C875" i="85"/>
  <c r="C29" i="85"/>
  <c r="C1355" i="85"/>
  <c r="C346" i="85"/>
  <c r="C640" i="85"/>
  <c r="C188" i="85"/>
  <c r="C279" i="85"/>
  <c r="C687" i="85"/>
  <c r="C1658" i="85"/>
  <c r="C1840" i="85"/>
  <c r="C998" i="85"/>
  <c r="C481" i="85"/>
  <c r="C572" i="85"/>
  <c r="C713" i="85"/>
  <c r="C1527" i="85"/>
  <c r="C1201" i="85"/>
  <c r="C340" i="85"/>
  <c r="C1038" i="85"/>
  <c r="C912" i="85"/>
  <c r="C257" i="85"/>
  <c r="C768" i="85"/>
  <c r="C860" i="85"/>
  <c r="C1615" i="85"/>
  <c r="C1334" i="85"/>
  <c r="C799" i="85"/>
  <c r="C1159" i="85"/>
  <c r="C663" i="85"/>
  <c r="C1213" i="85"/>
  <c r="C1607" i="85"/>
  <c r="C718" i="85"/>
  <c r="C667" i="85"/>
  <c r="C1019" i="85"/>
  <c r="C1032" i="85"/>
  <c r="C1909" i="85"/>
  <c r="C1627" i="85"/>
  <c r="C1698" i="85"/>
  <c r="C423" i="85"/>
  <c r="C1617" i="85"/>
  <c r="C1326" i="85"/>
  <c r="C1749" i="85"/>
  <c r="C1572" i="85"/>
  <c r="C1750" i="85"/>
  <c r="C1493" i="85"/>
  <c r="C362" i="85"/>
  <c r="C416" i="85"/>
  <c r="C548" i="85"/>
  <c r="C1077" i="85"/>
  <c r="C871" i="85"/>
  <c r="C868" i="85"/>
  <c r="C482" i="85"/>
  <c r="C382" i="85"/>
  <c r="C1146" i="85"/>
  <c r="C1476" i="85"/>
  <c r="C1940" i="85"/>
  <c r="C1188" i="85"/>
  <c r="C1880" i="85"/>
  <c r="C1768" i="85"/>
  <c r="C1008" i="85"/>
  <c r="C752" i="85"/>
  <c r="C289" i="85"/>
  <c r="C729" i="85"/>
  <c r="C1233" i="85"/>
  <c r="C826" i="85"/>
  <c r="C1568" i="85"/>
  <c r="C385" i="85"/>
  <c r="C1920" i="85"/>
  <c r="C384" i="85"/>
  <c r="C1413" i="85"/>
  <c r="C1043" i="85"/>
  <c r="C511" i="85"/>
  <c r="C1893" i="85"/>
  <c r="C1350" i="85"/>
  <c r="C94" i="85"/>
  <c r="C800" i="85"/>
  <c r="C631" i="85"/>
  <c r="C1066" i="85"/>
  <c r="C982" i="85"/>
  <c r="C740" i="85"/>
  <c r="C1954" i="85"/>
  <c r="C517" i="85"/>
  <c r="C1918" i="85"/>
  <c r="C1123" i="85"/>
  <c r="C269" i="85"/>
  <c r="C1479" i="85"/>
  <c r="C1719" i="85"/>
  <c r="C895" i="85"/>
  <c r="C1116" i="85"/>
  <c r="C378" i="85"/>
  <c r="C1772" i="85"/>
  <c r="C1417" i="85"/>
  <c r="C919" i="85"/>
  <c r="C1304" i="85"/>
  <c r="C519" i="85"/>
  <c r="C433" i="85"/>
  <c r="C1581" i="85"/>
  <c r="C1619" i="85"/>
  <c r="C602" i="85"/>
  <c r="C1731" i="85"/>
  <c r="C1946" i="85"/>
  <c r="C1388" i="85"/>
  <c r="C272" i="85"/>
  <c r="C1250" i="85"/>
  <c r="C672" i="85"/>
  <c r="C1137" i="85"/>
  <c r="C1253" i="85"/>
  <c r="C1553" i="85"/>
  <c r="C493" i="85"/>
  <c r="C1324" i="85"/>
  <c r="C420" i="85"/>
  <c r="C925" i="85"/>
  <c r="C1793" i="85"/>
  <c r="C1489" i="85"/>
  <c r="C65" i="85"/>
  <c r="C1098" i="85"/>
  <c r="C1226" i="85"/>
  <c r="C488" i="85"/>
  <c r="C883" i="85"/>
  <c r="C255" i="85"/>
  <c r="C539" i="85"/>
  <c r="C1943" i="85"/>
  <c r="C1391" i="85"/>
  <c r="C379" i="85"/>
  <c r="C659" i="85"/>
  <c r="C1562" i="85"/>
  <c r="C681" i="85"/>
  <c r="C536" i="85"/>
  <c r="C1981" i="85"/>
  <c r="C809" i="85"/>
  <c r="C746" i="85"/>
  <c r="C1735" i="85"/>
  <c r="C563" i="85"/>
  <c r="C402" i="85"/>
  <c r="C1327" i="85"/>
  <c r="C455" i="85"/>
  <c r="C386" i="85"/>
  <c r="C689" i="85"/>
  <c r="C847" i="85"/>
  <c r="C1343" i="85"/>
  <c r="C236" i="85"/>
  <c r="C1751" i="85"/>
  <c r="C666" i="85"/>
  <c r="C915" i="85"/>
  <c r="C288" i="85"/>
  <c r="C1076" i="85"/>
  <c r="C1505" i="85"/>
  <c r="C1454" i="85"/>
  <c r="C928" i="85"/>
  <c r="C1199" i="85"/>
  <c r="C283" i="85"/>
  <c r="C626" i="85"/>
  <c r="C1164" i="85"/>
  <c r="C1740" i="85"/>
  <c r="C261" i="85"/>
  <c r="C1667" i="85"/>
  <c r="C1714" i="85"/>
  <c r="C1371" i="85"/>
  <c r="C256" i="85"/>
  <c r="C1261" i="85"/>
  <c r="C1813" i="85"/>
  <c r="C1491" i="85"/>
  <c r="C699" i="85"/>
  <c r="C936" i="85"/>
  <c r="C1300" i="85"/>
  <c r="C991" i="85"/>
  <c r="C820" i="85"/>
  <c r="C1537" i="85"/>
  <c r="C1130" i="85"/>
  <c r="C1231" i="85"/>
  <c r="C1085" i="85"/>
  <c r="C840" i="85"/>
  <c r="C262" i="85"/>
  <c r="C850" i="85"/>
  <c r="C916" i="85"/>
  <c r="C1357" i="85"/>
  <c r="C339" i="85"/>
  <c r="C1928" i="85"/>
  <c r="C1575" i="85"/>
  <c r="C251" i="85"/>
  <c r="C1110" i="85"/>
  <c r="C1848" i="85"/>
  <c r="C505" i="85"/>
  <c r="C221" i="85"/>
  <c r="C1466" i="85"/>
  <c r="C589" i="85"/>
  <c r="C1218" i="85"/>
  <c r="C1023" i="85"/>
  <c r="C405" i="85"/>
  <c r="C372" i="85"/>
  <c r="C49" i="85"/>
  <c r="C869" i="85"/>
  <c r="C668" i="85"/>
  <c r="C497" i="85"/>
  <c r="C1296" i="85"/>
  <c r="C1630" i="85"/>
  <c r="C406" i="85"/>
  <c r="C1336" i="85"/>
  <c r="C1765" i="85"/>
  <c r="C367" i="85"/>
  <c r="C1650" i="85"/>
  <c r="C1853" i="85"/>
  <c r="C528" i="85"/>
  <c r="C1041" i="85"/>
  <c r="C1092" i="85"/>
  <c r="C896" i="85"/>
  <c r="C343" i="85"/>
  <c r="C1458" i="85"/>
  <c r="C1058" i="85"/>
  <c r="C369" i="85"/>
  <c r="C635" i="85"/>
  <c r="C798" i="85"/>
  <c r="C523" i="85"/>
  <c r="C1215" i="85"/>
  <c r="C254" i="85"/>
  <c r="C1073" i="85"/>
  <c r="C544" i="85"/>
  <c r="C806" i="85"/>
  <c r="C1290" i="85"/>
  <c r="C1716" i="85"/>
  <c r="C275" i="85"/>
  <c r="C1611" i="85"/>
  <c r="C361" i="85"/>
  <c r="C1359" i="85"/>
  <c r="C695" i="85"/>
  <c r="C1484" i="85"/>
  <c r="C904" i="85"/>
  <c r="C1624" i="85"/>
  <c r="C1245" i="85"/>
  <c r="C918" i="85"/>
  <c r="C855" i="85"/>
  <c r="C393" i="85"/>
  <c r="C542" i="85"/>
  <c r="C1398" i="85"/>
  <c r="C1478" i="85"/>
  <c r="C878" i="85"/>
  <c r="C1782" i="85"/>
  <c r="C1437" i="85"/>
  <c r="C623" i="85"/>
  <c r="C961" i="85"/>
  <c r="C225" i="85"/>
  <c r="C1989" i="85"/>
  <c r="C479" i="85"/>
  <c r="C1571" i="85"/>
  <c r="C920" i="85"/>
  <c r="C238" i="85"/>
  <c r="C669" i="85"/>
  <c r="C1753" i="85"/>
  <c r="C1637" i="85"/>
  <c r="C741" i="85"/>
  <c r="C1182" i="85"/>
  <c r="C1894" i="85"/>
  <c r="C1769" i="85"/>
  <c r="C1064" i="85"/>
  <c r="C1440" i="85"/>
  <c r="C434" i="85"/>
  <c r="C1392" i="85"/>
  <c r="C997" i="85"/>
  <c r="C1323" i="85"/>
  <c r="C342" i="85"/>
  <c r="C872" i="85"/>
  <c r="C836" i="85"/>
  <c r="C524" i="85"/>
  <c r="C1176" i="85"/>
  <c r="C1131" i="85"/>
  <c r="C1093" i="85"/>
  <c r="C999" i="85"/>
  <c r="C1592" i="85"/>
  <c r="C876" i="85"/>
  <c r="C1128" i="85"/>
  <c r="C1103" i="85"/>
  <c r="C1080" i="85"/>
  <c r="C1166" i="85"/>
  <c r="C779" i="85"/>
  <c r="C675" i="85"/>
  <c r="C1538" i="85"/>
  <c r="C1700" i="85"/>
  <c r="C317" i="85"/>
  <c r="C1675" i="85"/>
  <c r="C1360" i="85"/>
  <c r="C196" i="85"/>
  <c r="C1800" i="85"/>
  <c r="C1507" i="85"/>
  <c r="C1016" i="85"/>
  <c r="C593" i="85"/>
  <c r="C35" i="85"/>
  <c r="C1970" i="85"/>
  <c r="C1823" i="85"/>
  <c r="C1810" i="85"/>
  <c r="C404" i="85"/>
  <c r="C194" i="85"/>
  <c r="C566" i="85"/>
  <c r="C1649" i="85"/>
  <c r="C1705" i="85"/>
  <c r="C615" i="85"/>
  <c r="C1302" i="85"/>
  <c r="C605" i="85"/>
  <c r="C1847" i="85"/>
  <c r="C403" i="85"/>
  <c r="C1057" i="85"/>
  <c r="C970" i="85"/>
  <c r="C1618" i="85"/>
  <c r="C1345" i="85"/>
  <c r="C671" i="85"/>
  <c r="C1390" i="85"/>
  <c r="C1495" i="85"/>
  <c r="C1239" i="85"/>
  <c r="C489" i="85"/>
  <c r="C759" i="85"/>
  <c r="C938" i="85"/>
  <c r="C553" i="85"/>
  <c r="C126" i="85"/>
  <c r="C374" i="85"/>
  <c r="C1809" i="85"/>
  <c r="C1042" i="85"/>
  <c r="C1839" i="85"/>
  <c r="C1320" i="85"/>
  <c r="C1151" i="85"/>
  <c r="C797" i="85"/>
  <c r="C411" i="85"/>
  <c r="C567" i="85"/>
  <c r="C1070" i="85"/>
  <c r="C504" i="85"/>
  <c r="C498" i="85"/>
  <c r="C1846" i="85"/>
  <c r="C1899" i="85"/>
  <c r="C513" i="85"/>
  <c r="C854" i="85"/>
  <c r="C1600" i="85"/>
  <c r="C914" i="85"/>
  <c r="C1434" i="85"/>
  <c r="C302" i="85"/>
  <c r="C1124" i="85"/>
  <c r="C457" i="85"/>
  <c r="C184" i="85"/>
  <c r="C1841" i="85"/>
  <c r="C842" i="85"/>
  <c r="C1338" i="85"/>
  <c r="C1280" i="85"/>
  <c r="C893" i="85"/>
  <c r="C1347" i="85"/>
  <c r="C1132" i="85"/>
  <c r="C81" i="85"/>
  <c r="C465" i="85"/>
  <c r="C1856" i="85"/>
  <c r="C1525" i="85"/>
  <c r="C720" i="85"/>
  <c r="C1554" i="85"/>
  <c r="C1471" i="85"/>
  <c r="C1410" i="85"/>
  <c r="C397" i="85"/>
  <c r="C634" i="85"/>
  <c r="C1242" i="85"/>
  <c r="C1646" i="85"/>
  <c r="C1935" i="85"/>
  <c r="C1341" i="85"/>
  <c r="C1133" i="85"/>
  <c r="C1448" i="85"/>
  <c r="C987" i="85"/>
  <c r="C1184" i="85"/>
  <c r="C1289" i="85"/>
  <c r="C1072" i="85"/>
  <c r="C902" i="85"/>
  <c r="C357" i="85"/>
  <c r="C1120" i="85"/>
  <c r="C1241" i="85"/>
  <c r="C59" i="85"/>
  <c r="C1517" i="85"/>
  <c r="C229" i="85"/>
  <c r="C1669" i="85"/>
  <c r="C649" i="85"/>
  <c r="C1898" i="85"/>
  <c r="C735" i="85"/>
  <c r="C1118" i="85"/>
  <c r="C1939" i="85"/>
  <c r="C1604" i="85"/>
  <c r="C651" i="85"/>
  <c r="C1170" i="85"/>
  <c r="C380" i="85"/>
  <c r="C1219" i="85"/>
  <c r="C435" i="85"/>
  <c r="C1373" i="85"/>
  <c r="C1107" i="85"/>
  <c r="C722" i="85"/>
  <c r="C1563" i="85"/>
  <c r="C1212" i="85"/>
  <c r="C818" i="85"/>
  <c r="C1645" i="85"/>
  <c r="C778" i="85"/>
  <c r="C1153" i="85"/>
  <c r="C1195" i="85"/>
  <c r="C52" i="85"/>
  <c r="C421" i="85"/>
  <c r="C282" i="85"/>
  <c r="C1594" i="85"/>
  <c r="C1018" i="85"/>
  <c r="C1486" i="85"/>
  <c r="C1982" i="85"/>
  <c r="C1260" i="85"/>
  <c r="C1725" i="85"/>
  <c r="C1602" i="85"/>
  <c r="C515" i="85"/>
  <c r="C1919" i="85"/>
  <c r="C1720" i="85"/>
  <c r="C726" i="85"/>
  <c r="C183" i="85"/>
  <c r="C220" i="85"/>
  <c r="C1539" i="85"/>
  <c r="C450" i="85"/>
  <c r="C1420" i="85"/>
  <c r="C555" i="85"/>
  <c r="C1286" i="85"/>
  <c r="C772" i="85"/>
  <c r="C377" i="85"/>
  <c r="C1870" i="85"/>
  <c r="C606" i="85"/>
  <c r="C1678" i="85"/>
  <c r="C187" i="85"/>
  <c r="C1888" i="85"/>
  <c r="C462" i="85"/>
  <c r="C1703" i="85"/>
  <c r="C1973" i="85"/>
  <c r="C1035" i="85"/>
  <c r="C1278" i="85"/>
  <c r="C753" i="85"/>
  <c r="C85" i="85"/>
  <c r="C852" i="85"/>
  <c r="C1266" i="85"/>
  <c r="C426" i="85"/>
  <c r="C1147" i="85"/>
  <c r="C1828" i="85"/>
  <c r="C744" i="85"/>
  <c r="C1533" i="85"/>
  <c r="C1217" i="85"/>
  <c r="C1579" i="85"/>
  <c r="C502" i="85"/>
  <c r="C683" i="85"/>
  <c r="C1694" i="85"/>
  <c r="C948" i="85"/>
  <c r="C705" i="85"/>
  <c r="C943" i="85"/>
  <c r="C1144" i="85"/>
  <c r="C290" i="85"/>
  <c r="C1113" i="85"/>
  <c r="C1112" i="85"/>
  <c r="C286" i="85"/>
  <c r="C329" i="85"/>
  <c r="C866" i="85"/>
  <c r="C1325" i="85"/>
  <c r="C182" i="85"/>
  <c r="C1251" i="85"/>
  <c r="C1230" i="85"/>
  <c r="C1407" i="85"/>
  <c r="C540" i="85"/>
  <c r="C1366" i="85"/>
  <c r="C1134" i="85"/>
  <c r="C736" i="85"/>
  <c r="C526" i="85"/>
  <c r="C571" i="85"/>
  <c r="C1340" i="85"/>
  <c r="C1488" i="85"/>
  <c r="C1006" i="85"/>
  <c r="C345" i="85"/>
  <c r="C570" i="85"/>
  <c r="C1706" i="85"/>
  <c r="C1783" i="85"/>
  <c r="C1177" i="85"/>
  <c r="C331" i="85"/>
  <c r="C1088" i="85"/>
  <c r="C1441" i="85"/>
  <c r="C249" i="85"/>
  <c r="C1349" i="85"/>
  <c r="C1027" i="85"/>
  <c r="C1586" i="85"/>
  <c r="C839" i="85"/>
  <c r="C471" i="85"/>
  <c r="C807" i="85"/>
  <c r="C1470" i="85"/>
  <c r="C1521" i="85"/>
  <c r="C690" i="85"/>
  <c r="C1378" i="85"/>
  <c r="C400" i="85"/>
  <c r="C1204" i="85"/>
  <c r="C1668" i="85"/>
  <c r="C1003" i="85"/>
  <c r="C1941" i="85"/>
  <c r="C1269" i="85"/>
  <c r="C1904" i="85"/>
  <c r="C843" i="85"/>
  <c r="C248" i="85"/>
  <c r="C1806" i="85"/>
  <c r="C578" i="85"/>
  <c r="C1075" i="85"/>
  <c r="C1161" i="85"/>
  <c r="C1821" i="85"/>
  <c r="C1017" i="85"/>
  <c r="C210" i="85"/>
  <c r="C1654" i="85"/>
  <c r="C1403" i="85"/>
  <c r="C1145" i="85"/>
  <c r="C661" i="85"/>
  <c r="C1426" i="85"/>
  <c r="C429" i="85"/>
  <c r="C976" i="85"/>
  <c r="C1475" i="85"/>
  <c r="C538" i="85"/>
  <c r="C730" i="85"/>
  <c r="C1519" i="85"/>
  <c r="C1912" i="85"/>
  <c r="C271" i="85"/>
  <c r="C242" i="85"/>
  <c r="C1871" i="85"/>
  <c r="C1764" i="85"/>
  <c r="C235" i="85"/>
  <c r="C1374" i="85"/>
  <c r="C472" i="85"/>
  <c r="C1240" i="85"/>
  <c r="C258" i="85"/>
  <c r="C198" i="85"/>
  <c r="C1555" i="85"/>
  <c r="C1022" i="85"/>
  <c r="C461" i="85"/>
  <c r="C1960" i="85"/>
  <c r="C801" i="85"/>
  <c r="C930" i="85"/>
  <c r="C949" i="85"/>
  <c r="C1228" i="85"/>
  <c r="C1963" i="85"/>
  <c r="C1209" i="85"/>
  <c r="C984" i="85"/>
  <c r="C53" i="85"/>
  <c r="C223" i="85"/>
  <c r="C547" i="85"/>
  <c r="C185" i="85"/>
  <c r="C585" i="85"/>
  <c r="C276" i="85"/>
  <c r="C985" i="85"/>
  <c r="C395" i="85"/>
  <c r="C437" i="85"/>
  <c r="C565" i="85"/>
  <c r="C1877" i="85"/>
  <c r="C1566" i="85"/>
  <c r="C322" i="85"/>
  <c r="C1795" i="85"/>
  <c r="C1328" i="85"/>
  <c r="C224" i="85"/>
  <c r="C1854" i="85"/>
  <c r="C441" i="85"/>
  <c r="C1463" i="85"/>
  <c r="C680" i="85"/>
  <c r="C1256" i="85"/>
  <c r="C503" i="85"/>
  <c r="C805" i="85"/>
  <c r="C1902" i="85"/>
  <c r="C1257" i="85"/>
  <c r="C1249" i="85"/>
  <c r="C1428" i="85"/>
  <c r="C467" i="85"/>
  <c r="C1496" i="85"/>
  <c r="C1518" i="85"/>
  <c r="C518" i="85"/>
  <c r="C1094" i="85"/>
  <c r="C644" i="85"/>
  <c r="C1067" i="85"/>
  <c r="C66" i="85"/>
  <c r="C1913" i="85"/>
  <c r="C1860" i="85"/>
  <c r="C206" i="85"/>
  <c r="C259" i="85"/>
  <c r="C209" i="85"/>
  <c r="C766" i="85"/>
  <c r="C1597" i="85"/>
  <c r="C929" i="85"/>
  <c r="C122" i="85"/>
  <c r="C1937" i="85"/>
  <c r="C1802" i="85"/>
  <c r="C742" i="85"/>
  <c r="C304" i="85"/>
  <c r="C974" i="85"/>
  <c r="C1193" i="85"/>
  <c r="C858" i="85"/>
  <c r="C1531" i="85"/>
  <c r="C1442" i="85"/>
  <c r="C202" i="85"/>
  <c r="C885" i="85"/>
  <c r="C1633" i="85"/>
  <c r="C905" i="85"/>
  <c r="C616" i="85"/>
  <c r="C1169" i="85"/>
  <c r="C1858" i="85"/>
  <c r="C1424" i="85"/>
  <c r="C216" i="85"/>
  <c r="C1551" i="85"/>
  <c r="C54" i="85"/>
  <c r="C1951" i="85"/>
  <c r="C900" i="85"/>
  <c r="C1629" i="85"/>
  <c r="C679" i="85"/>
  <c r="C1059" i="85"/>
  <c r="C1548" i="85"/>
  <c r="C541" i="85"/>
  <c r="C285" i="85"/>
  <c r="C647" i="85"/>
  <c r="C50" i="85"/>
  <c r="C710" i="85"/>
  <c r="C1069" i="85"/>
  <c r="C624" i="85"/>
  <c r="C413" i="85"/>
  <c r="C561" i="85"/>
  <c r="C1999" i="85"/>
  <c r="C698" i="85"/>
  <c r="C1310" i="85"/>
  <c r="C1961" i="85"/>
  <c r="C1819" i="85"/>
  <c r="C1985" i="85"/>
  <c r="C1535" i="85"/>
  <c r="C1430" i="85"/>
  <c r="C1930" i="85"/>
  <c r="C1331" i="85"/>
  <c r="C263" i="85"/>
  <c r="C1557" i="85"/>
  <c r="C43" i="85"/>
  <c r="C941" i="85"/>
  <c r="C1198" i="85"/>
  <c r="C723" i="85"/>
  <c r="C1419" i="85"/>
  <c r="C1225" i="85"/>
  <c r="C771" i="85"/>
  <c r="C27" i="85"/>
  <c r="C203" i="85"/>
  <c r="C978" i="85"/>
  <c r="C1047" i="85"/>
  <c r="C633" i="85"/>
  <c r="C299" i="85"/>
  <c r="C1499" i="85"/>
  <c r="C598" i="85"/>
  <c r="C1339" i="85"/>
  <c r="C899" i="85"/>
  <c r="C330" i="85"/>
  <c r="C1395" i="85"/>
  <c r="C28" i="85"/>
  <c r="C780" i="85"/>
  <c r="C844" i="85"/>
  <c r="C1666" i="85"/>
  <c r="C1168" i="85"/>
  <c r="C1746" i="85"/>
  <c r="C180" i="85"/>
  <c r="C1267" i="85"/>
  <c r="C968" i="85"/>
  <c r="C1474" i="85"/>
  <c r="C733" i="85"/>
  <c r="C1396" i="85"/>
  <c r="C1030" i="85"/>
  <c r="C1992" i="85"/>
  <c r="C1021" i="85"/>
  <c r="C1964" i="85"/>
  <c r="C175" i="85"/>
  <c r="C1055" i="85"/>
  <c r="C1808" i="85"/>
  <c r="C1628" i="85"/>
  <c r="C1313" i="85"/>
  <c r="C1348" i="85"/>
  <c r="C724" i="85"/>
  <c r="C1550" i="85"/>
  <c r="C763" i="85"/>
  <c r="C642" i="85"/>
  <c r="C1635" i="85"/>
  <c r="C447" i="85"/>
  <c r="C884" i="85"/>
  <c r="C1515" i="85"/>
  <c r="C786" i="85"/>
  <c r="C63" i="85"/>
  <c r="C822" i="85"/>
  <c r="C1758" i="85"/>
  <c r="C1469" i="85"/>
  <c r="C1526" i="85"/>
  <c r="C228" i="85"/>
  <c r="C815" i="85"/>
  <c r="C334" i="85"/>
  <c r="C1412" i="85"/>
  <c r="C641" i="85"/>
  <c r="C972" i="85"/>
  <c r="C1788" i="85"/>
  <c r="C328" i="85"/>
  <c r="C1825" i="85"/>
  <c r="C856" i="85"/>
  <c r="C947" i="85"/>
  <c r="C1500" i="85"/>
  <c r="C1455" i="85"/>
  <c r="C51" i="85"/>
  <c r="C1271" i="85"/>
  <c r="C812" i="85"/>
  <c r="C1379" i="85"/>
  <c r="C1723" i="85"/>
  <c r="C494" i="85"/>
  <c r="C945" i="85"/>
  <c r="C865" i="85"/>
  <c r="C1863" i="85"/>
  <c r="C546" i="85"/>
  <c r="C1733" i="85"/>
  <c r="C1274" i="85"/>
  <c r="C496" i="85"/>
  <c r="C1416" i="85"/>
  <c r="C835" i="85"/>
  <c r="C1717" i="85"/>
  <c r="C1775" i="85"/>
  <c r="C1990" i="85"/>
  <c r="C388" i="85"/>
  <c r="C627" i="85"/>
  <c r="C1369" i="85"/>
  <c r="C1091" i="85"/>
  <c r="C344" i="85"/>
  <c r="C957" i="85"/>
  <c r="C721" i="85"/>
  <c r="C1511" i="85"/>
  <c r="C1236" i="85"/>
  <c r="C68" i="85"/>
  <c r="C1273" i="85"/>
  <c r="C1346" i="85"/>
  <c r="C1445" i="85"/>
  <c r="C596" i="85"/>
  <c r="C62" i="85"/>
  <c r="C1921" i="85"/>
  <c r="C495" i="85"/>
  <c r="C1762" i="85"/>
  <c r="C931" i="85"/>
  <c r="C643" i="85"/>
  <c r="C312" i="85"/>
  <c r="C859" i="85"/>
  <c r="C1838" i="85"/>
  <c r="C1688" i="85"/>
  <c r="C355" i="85"/>
  <c r="C1522" i="85"/>
  <c r="C892" i="85"/>
  <c r="C458" i="85"/>
  <c r="C969" i="85"/>
  <c r="C381" i="85"/>
  <c r="C1653" i="85"/>
  <c r="C213" i="85"/>
  <c r="C1929" i="85"/>
  <c r="C748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<sst xmlns="http://schemas.openxmlformats.org/spreadsheetml/2006/main" count="14768" uniqueCount="2431">
  <si>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</si>
  <si>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</si>
  <si>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</si>
  <si>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</si>
  <si>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</si>
  <si>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</si>
  <si>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</si>
  <si>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</si>
  <si>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</si>
  <si>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</si>
  <si>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</si>
  <si>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</si>
  <si>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</si>
  <si>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</si>
  <si>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</si>
  <si>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</si>
  <si>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</si>
  <si>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</si>
  <si>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</si>
  <si>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</si>
  <si>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</si>
  <si>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</si>
  <si>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</si>
  <si>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</si>
  <si>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</si>
  <si>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</si>
  <si>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</si>
  <si>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</si>
  <si>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</si>
  <si>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</si>
  <si>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</si>
  <si>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</si>
  <si>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</si>
  <si>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</si>
  <si>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</si>
  <si>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</si>
  <si>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</si>
  <si>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</si>
  <si>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</si>
  <si>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</si>
  <si>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</si>
  <si>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</si>
  <si>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</si>
  <si>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</si>
  <si>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</si>
  <si>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</si>
  <si>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</si>
  <si>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</si>
  <si>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</si>
  <si>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</si>
  <si>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</si>
  <si>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</si>
  <si>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</si>
  <si>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</si>
  <si>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</si>
  <si>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</si>
  <si>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</si>
  <si>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</si>
  <si>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</si>
  <si>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</si>
  <si>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</si>
  <si>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</si>
  <si>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</si>
  <si>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</si>
  <si>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</si>
  <si>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</si>
  <si>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</si>
  <si>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</si>
  <si>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</si>
  <si>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</si>
  <si>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</si>
  <si>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</si>
  <si>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</si>
  <si>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</si>
  <si>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</si>
  <si>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</si>
  <si>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</si>
  <si>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</si>
  <si>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</si>
  <si>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</si>
  <si>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</si>
  <si>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</si>
  <si>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</si>
  <si>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</si>
  <si>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</si>
  <si>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</si>
  <si>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</si>
  <si>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</si>
  <si>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</si>
  <si>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</si>
  <si>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</si>
  <si>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</si>
  <si>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</si>
  <si>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</si>
  <si>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</si>
  <si>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</si>
  <si>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</si>
  <si>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</si>
  <si>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</si>
  <si>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</si>
  <si>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</si>
  <si>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</si>
  <si>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</si>
  <si>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</si>
  <si>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</si>
  <si>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</si>
  <si>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</si>
  <si>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</si>
  <si>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</si>
  <si>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</si>
  <si>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</si>
  <si>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</si>
  <si>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</si>
  <si>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</si>
  <si>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</si>
  <si>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</si>
  <si>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</si>
  <si>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</si>
  <si>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</si>
  <si>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</si>
  <si>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</si>
  <si>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</si>
  <si>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</si>
  <si>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</si>
  <si>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</si>
  <si>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</si>
  <si>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</si>
  <si>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</si>
  <si>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</si>
  <si>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</si>
  <si>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</si>
  <si>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</si>
  <si>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</si>
  <si>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</si>
  <si>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</si>
  <si>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</si>
  <si>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</si>
  <si>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</si>
  <si>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</si>
  <si>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</si>
  <si>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</si>
  <si>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</si>
  <si>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</si>
  <si>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</si>
  <si>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</si>
  <si>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</si>
  <si>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</si>
  <si>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</si>
  <si>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</si>
  <si>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</si>
  <si>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</si>
  <si>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</si>
  <si>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</si>
  <si>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</si>
  <si>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</si>
  <si>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</si>
  <si>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</si>
  <si>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</si>
  <si>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</si>
  <si>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</si>
  <si>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</si>
  <si>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</si>
  <si>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</si>
  <si>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</si>
  <si>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</si>
  <si>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</si>
  <si>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</si>
  <si>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</si>
  <si>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</si>
  <si>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</si>
  <si>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</si>
  <si>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</si>
  <si>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</si>
  <si>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</si>
  <si>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</si>
  <si>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</si>
  <si>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</si>
  <si>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</si>
  <si>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</si>
  <si>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</si>
  <si>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</si>
  <si>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</si>
  <si>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</si>
  <si>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</si>
  <si>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</si>
  <si>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</si>
  <si>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</si>
  <si>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</si>
  <si>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</si>
  <si>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</si>
  <si>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</si>
  <si>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</si>
  <si>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</si>
  <si>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</si>
  <si>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</si>
  <si>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</si>
  <si>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</si>
  <si>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</si>
  <si>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</si>
  <si>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</si>
  <si>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</si>
  <si>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</si>
  <si>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</si>
  <si>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</si>
  <si>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</si>
  <si>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</si>
  <si>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</si>
  <si>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</si>
  <si>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</si>
  <si>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</si>
  <si>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</si>
  <si>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</si>
  <si>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</si>
  <si>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</si>
  <si>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</si>
  <si>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</si>
  <si>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</si>
  <si>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</si>
  <si>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</si>
  <si>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</si>
  <si>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</si>
  <si>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</si>
  <si>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</si>
  <si>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</si>
  <si>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</si>
  <si>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</si>
  <si>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</si>
  <si>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</si>
  <si>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</si>
  <si>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</si>
  <si>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</si>
  <si>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</si>
  <si>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</si>
  <si>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</si>
  <si>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</si>
  <si>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</si>
  <si>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</si>
  <si>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</si>
  <si>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</si>
  <si>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</si>
  <si>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</si>
  <si>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</si>
  <si>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</si>
  <si>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</si>
  <si>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</si>
  <si>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</si>
  <si>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</si>
  <si>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</si>
  <si>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</si>
  <si>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</si>
  <si>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</si>
  <si>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</si>
  <si>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</si>
  <si>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</si>
  <si>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</si>
  <si>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</si>
  <si>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</si>
  <si>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</si>
  <si>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</si>
  <si>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</si>
  <si>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</si>
  <si>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</si>
  <si>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</si>
  <si>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</si>
  <si>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</si>
  <si>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</si>
  <si>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</si>
  <si>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</si>
  <si>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</si>
  <si>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</si>
  <si>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</si>
  <si>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</si>
  <si>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</si>
  <si>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</si>
  <si>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</si>
  <si>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</si>
  <si>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</si>
  <si>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</si>
  <si>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</si>
  <si>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</si>
  <si>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</si>
  <si>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</si>
  <si>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</si>
  <si>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</si>
  <si>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</si>
  <si>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</si>
  <si>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</si>
  <si>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</si>
  <si>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</si>
  <si>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</si>
  <si>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</si>
  <si>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</si>
  <si>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</si>
  <si>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</si>
  <si>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</si>
  <si>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</si>
  <si>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</si>
  <si>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</si>
  <si>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</si>
  <si>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</si>
  <si>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</si>
  <si>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</si>
  <si>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</si>
  <si>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</si>
  <si>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</si>
  <si>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</si>
  <si>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</si>
  <si>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</si>
  <si>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</si>
  <si>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</si>
  <si>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</si>
  <si>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</si>
  <si>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</si>
  <si>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</si>
  <si>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</si>
  <si>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</si>
  <si>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</si>
  <si>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</si>
  <si>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</si>
  <si>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</si>
  <si>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</si>
  <si>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</si>
  <si>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</si>
  <si>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</si>
  <si>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</si>
  <si>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</si>
  <si>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</si>
  <si>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</si>
  <si>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</si>
  <si>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</si>
  <si>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</si>
  <si>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</si>
  <si>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</si>
  <si>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</si>
  <si>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</si>
  <si>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</si>
  <si>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</si>
  <si>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</si>
  <si>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</si>
  <si>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</si>
  <si>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</si>
  <si>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</si>
  <si>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</si>
  <si>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</si>
  <si>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</si>
  <si>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</si>
  <si>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</si>
  <si>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</si>
  <si>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</si>
  <si>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</si>
  <si>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</si>
  <si>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</si>
  <si>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</si>
  <si>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</si>
  <si>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</si>
  <si>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</si>
  <si>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</si>
  <si>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</si>
  <si>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</si>
  <si>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</si>
  <si>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</si>
  <si>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</si>
  <si>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</si>
  <si>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</si>
  <si>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</si>
  <si>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</si>
  <si>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</si>
  <si>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</si>
  <si>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</si>
  <si>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</si>
  <si>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</si>
  <si>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</si>
  <si>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</si>
  <si>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</si>
  <si>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</si>
  <si>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</si>
  <si>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</si>
  <si>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</si>
  <si>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</si>
  <si>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</si>
  <si>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</si>
  <si>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</si>
  <si>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</si>
  <si>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</si>
  <si>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</si>
  <si>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</si>
  <si>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</si>
  <si>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</si>
  <si>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</si>
  <si>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</si>
  <si>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</si>
  <si>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</si>
  <si>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</si>
  <si>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</si>
  <si>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</si>
  <si>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</si>
  <si>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</si>
  <si>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</si>
  <si>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</si>
  <si>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</si>
  <si>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</si>
  <si>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</si>
  <si>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</si>
  <si>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</si>
  <si>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</si>
  <si>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</si>
  <si>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</si>
  <si>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</si>
  <si>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</si>
  <si>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</si>
  <si>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</si>
  <si>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</si>
  <si>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</si>
  <si>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</si>
  <si>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</si>
  <si>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</si>
  <si>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</si>
  <si>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</si>
  <si>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</si>
  <si>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</si>
  <si>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</si>
  <si>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</si>
  <si>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</si>
  <si>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</si>
  <si>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</si>
  <si>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</si>
  <si>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</si>
  <si>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</si>
  <si>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</si>
  <si>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</si>
  <si>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</si>
  <si>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</si>
  <si>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</si>
  <si>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</si>
  <si>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</si>
  <si>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</si>
  <si>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</si>
  <si>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</si>
  <si>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</si>
  <si>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</si>
  <si>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</si>
  <si>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</si>
  <si>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</si>
  <si>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</si>
  <si>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</si>
  <si>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</si>
  <si>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</si>
  <si>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</si>
  <si>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</si>
  <si>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</si>
  <si>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</si>
  <si>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</si>
  <si>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</si>
  <si>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</si>
  <si>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</si>
  <si>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</si>
  <si>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</si>
  <si>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</si>
  <si>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</si>
  <si>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</si>
  <si>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</si>
  <si>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</si>
  <si>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</si>
  <si>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</si>
  <si>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</si>
  <si>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</si>
  <si>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</si>
  <si>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</si>
  <si>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</si>
  <si>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</si>
  <si>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</si>
  <si>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</si>
  <si>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</si>
  <si>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</si>
  <si>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</si>
  <si>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</si>
  <si>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</si>
  <si>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</si>
  <si>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</si>
  <si>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</si>
  <si>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</si>
  <si>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</si>
  <si>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</si>
  <si>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</si>
  <si>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</si>
  <si>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</si>
  <si>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</si>
  <si>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</si>
  <si>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</si>
  <si>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</si>
  <si>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</si>
  <si>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</si>
  <si>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</si>
  <si>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</si>
  <si>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</si>
  <si>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</si>
  <si>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</si>
  <si>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</si>
  <si>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</si>
  <si>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</si>
  <si>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</si>
  <si>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</si>
  <si>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</si>
  <si>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</si>
  <si>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</si>
  <si>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</si>
  <si>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</si>
  <si>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</si>
  <si>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</si>
  <si>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</si>
  <si>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</si>
  <si>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</si>
  <si>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</si>
  <si>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</si>
  <si>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</si>
  <si>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</si>
  <si>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</si>
  <si>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</si>
  <si>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</si>
  <si>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</si>
  <si>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</si>
  <si>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</si>
  <si>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</si>
  <si>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</si>
  <si>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</si>
  <si>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</si>
  <si>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</si>
  <si>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</si>
  <si>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</si>
  <si>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</si>
  <si>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</si>
  <si>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</si>
  <si>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</si>
  <si>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</si>
  <si>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</si>
  <si>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</si>
  <si>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</si>
  <si>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</si>
  <si>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</si>
  <si>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</si>
  <si>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</si>
  <si>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</si>
  <si>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</si>
  <si>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</si>
  <si>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</si>
  <si>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</si>
  <si>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</si>
  <si>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</si>
  <si>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</si>
  <si>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</si>
  <si>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</si>
  <si>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</si>
  <si>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</si>
  <si>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</si>
  <si>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</si>
  <si>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</si>
  <si>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</si>
  <si>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</si>
  <si>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</si>
  <si>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</si>
  <si>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</si>
  <si>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</si>
  <si>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</si>
  <si>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</si>
  <si>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</si>
  <si>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</si>
  <si>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</si>
  <si>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</si>
  <si>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</si>
  <si>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</si>
  <si>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</si>
  <si>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</si>
  <si>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</si>
  <si>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</si>
  <si>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</si>
  <si>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</si>
  <si>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</si>
  <si>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</si>
  <si>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</si>
  <si>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</si>
  <si>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</si>
  <si>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</si>
  <si>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</si>
  <si>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</si>
  <si>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</si>
  <si>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</si>
  <si>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</si>
  <si>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</si>
  <si>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</si>
  <si>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</si>
  <si>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</si>
  <si>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</si>
  <si>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</si>
  <si>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</si>
  <si>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</si>
  <si>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</si>
  <si>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</si>
  <si>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</si>
  <si>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</si>
  <si>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</si>
  <si>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</si>
  <si>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</si>
  <si>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</si>
  <si>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</si>
  <si>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</si>
  <si>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</si>
  <si>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</si>
  <si>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</si>
  <si>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</si>
  <si>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</si>
  <si>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</si>
  <si>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</si>
  <si>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</si>
  <si>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</si>
  <si>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</si>
  <si>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</si>
  <si>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</si>
  <si>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</si>
  <si>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</si>
  <si>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</si>
  <si>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</si>
  <si>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</si>
  <si>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</si>
  <si>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</si>
  <si>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</si>
  <si>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</si>
  <si>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</si>
  <si>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</si>
  <si>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</si>
  <si>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</si>
  <si>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</si>
  <si>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</si>
  <si>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</si>
  <si>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</si>
  <si>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</si>
  <si>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</si>
  <si>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</si>
  <si>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</si>
  <si>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</si>
  <si>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</si>
  <si>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</si>
  <si>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</si>
  <si>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</si>
  <si>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</si>
  <si>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</si>
  <si>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</si>
  <si>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</si>
  <si>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</si>
  <si>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</si>
  <si>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</si>
  <si>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</si>
  <si>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</si>
  <si>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</si>
  <si>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</si>
  <si>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</si>
  <si>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</si>
  <si>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</si>
  <si>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</si>
  <si>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</si>
  <si>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</si>
  <si>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</si>
  <si>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</si>
  <si>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</si>
  <si>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</si>
  <si>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</si>
  <si>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</si>
  <si>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</si>
  <si>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</si>
  <si>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</si>
  <si>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</si>
  <si>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</si>
  <si>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</si>
  <si>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</si>
  <si>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</si>
  <si>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</si>
  <si>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</si>
  <si>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</si>
  <si>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</si>
  <si>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</si>
  <si>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</si>
  <si>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</si>
  <si>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</si>
  <si>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</si>
  <si>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</si>
  <si>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</si>
  <si>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</si>
  <si>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</si>
  <si>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</si>
  <si>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</si>
  <si>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</si>
  <si>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</si>
  <si>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</si>
  <si>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</si>
  <si>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</si>
  <si>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</si>
  <si>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</si>
  <si>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</si>
  <si>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</si>
  <si>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</si>
  <si>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</si>
  <si>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</si>
  <si>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</si>
  <si>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</si>
  <si>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</si>
  <si>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</si>
  <si>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</si>
  <si>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</si>
  <si>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</si>
  <si>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</si>
  <si>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</si>
  <si>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</si>
  <si>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</si>
  <si>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</si>
  <si>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</si>
  <si>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</si>
  <si>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</si>
  <si>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</si>
  <si>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</si>
  <si>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</si>
  <si>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</si>
  <si>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</si>
  <si>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</si>
  <si>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</si>
  <si>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</si>
  <si>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</si>
  <si>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</si>
  <si>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</si>
  <si>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</si>
  <si>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</si>
  <si>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</si>
  <si>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</si>
  <si>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</si>
  <si>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</si>
  <si>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</si>
  <si>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</si>
  <si>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</si>
  <si>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</si>
  <si>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</si>
  <si>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</si>
  <si>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</si>
  <si>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</si>
  <si>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</si>
  <si>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</si>
  <si>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</si>
  <si>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</si>
  <si>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</si>
  <si>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</si>
  <si>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</si>
  <si>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</si>
  <si>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</si>
  <si>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</si>
  <si>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</si>
  <si>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</si>
  <si>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</si>
  <si>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</si>
  <si>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</si>
  <si>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</si>
  <si>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</si>
  <si>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</si>
  <si>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</si>
  <si>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</si>
  <si>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</si>
  <si>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</si>
  <si>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</si>
  <si>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</si>
  <si>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</si>
  <si>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</si>
  <si>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</si>
  <si>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</si>
  <si>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</si>
  <si>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</si>
  <si>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</si>
  <si>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</si>
  <si>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</si>
  <si>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</si>
  <si>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</si>
  <si>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</si>
  <si>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</si>
  <si>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</si>
  <si>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</si>
  <si>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</si>
  <si>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</si>
  <si>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</si>
  <si>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</si>
  <si>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</si>
  <si>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</si>
  <si>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</si>
  <si>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</si>
  <si>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</si>
  <si>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</si>
  <si>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</si>
  <si>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</si>
  <si>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</si>
  <si>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</si>
  <si>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</si>
  <si>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</si>
  <si>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</si>
  <si>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</si>
  <si>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</si>
  <si>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</si>
  <si>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</si>
  <si>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</si>
  <si>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</si>
  <si>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</si>
  <si>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</si>
  <si>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</si>
  <si>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</si>
  <si>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</si>
  <si>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</si>
  <si>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</si>
  <si>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</si>
  <si>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</si>
  <si>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</si>
  <si>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</si>
  <si>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</si>
  <si>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</si>
  <si>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</si>
  <si>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</si>
  <si>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</si>
  <si>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</si>
  <si>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</si>
  <si>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</si>
  <si>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</si>
  <si>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</si>
  <si>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</si>
  <si>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</si>
  <si>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</si>
  <si>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</si>
  <si>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</si>
  <si>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</si>
  <si>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</si>
  <si>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</si>
  <si>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</si>
  <si>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</si>
  <si>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</si>
  <si>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</si>
  <si>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</si>
  <si>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</si>
  <si>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</si>
  <si>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</si>
  <si>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</si>
  <si>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</si>
  <si>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</si>
  <si>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</si>
  <si>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</si>
  <si>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</si>
  <si>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</si>
  <si>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</si>
  <si>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</si>
  <si>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</si>
  <si>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</si>
  <si>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</si>
  <si>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</si>
  <si>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</si>
  <si>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</si>
  <si>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</si>
  <si>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</si>
  <si>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</si>
  <si>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</si>
  <si>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</si>
  <si>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</si>
  <si>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</si>
  <si>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</si>
  <si>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</si>
  <si>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</si>
  <si>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</si>
  <si>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</si>
  <si>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</si>
  <si>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</si>
  <si>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</si>
  <si>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</si>
  <si>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</si>
  <si>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</si>
  <si>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</si>
  <si>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</si>
  <si>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</si>
  <si>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</si>
  <si>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</si>
  <si>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</si>
  <si>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</si>
  <si>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</si>
  <si>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</si>
  <si>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</si>
  <si>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</si>
  <si>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</si>
  <si>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</si>
  <si>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</si>
  <si>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</si>
  <si>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</si>
  <si>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</si>
  <si>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</si>
  <si>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</si>
  <si>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</si>
  <si>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</si>
  <si>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</si>
  <si>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</si>
  <si>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</si>
  <si>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</si>
  <si>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</si>
  <si>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</si>
  <si>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</si>
  <si>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</si>
  <si>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</si>
  <si>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</si>
  <si>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</si>
  <si>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</si>
  <si>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</si>
  <si>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</si>
  <si>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</si>
  <si>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</si>
  <si>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</si>
  <si>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</si>
  <si>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</si>
  <si>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</si>
  <si>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</si>
  <si>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</si>
  <si>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</si>
  <si>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</si>
  <si>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</si>
  <si>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</si>
  <si>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</si>
  <si>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</si>
  <si>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</si>
  <si>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</si>
  <si>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</si>
  <si>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</si>
  <si>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</si>
  <si>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</si>
  <si>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</si>
  <si>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</si>
  <si>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</si>
  <si>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</si>
  <si>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</si>
  <si>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</si>
  <si>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</si>
  <si>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</si>
  <si>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</si>
  <si>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</si>
  <si>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</si>
  <si>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</si>
  <si>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</si>
  <si>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</si>
  <si>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</si>
  <si>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</si>
  <si>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</si>
  <si>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</si>
  <si>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</si>
  <si>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</si>
  <si>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</si>
  <si>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</si>
  <si>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</si>
  <si>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</si>
  <si>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</si>
  <si>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</si>
  <si>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</si>
  <si>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</si>
  <si>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</si>
  <si>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</si>
  <si>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</si>
  <si>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</si>
  <si>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</si>
  <si>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</si>
  <si>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</si>
  <si>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</si>
  <si>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</si>
  <si>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</si>
  <si>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</si>
  <si>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</si>
  <si>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</si>
  <si>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</si>
  <si>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</si>
  <si>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</si>
  <si>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</si>
  <si>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</si>
  <si>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</si>
  <si>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</si>
  <si>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</si>
  <si>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</si>
  <si>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</si>
  <si>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</si>
  <si>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</si>
  <si>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</si>
  <si>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</si>
  <si>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</si>
  <si>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</si>
  <si>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</si>
  <si>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</si>
  <si>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</si>
  <si>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</si>
  <si>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</si>
  <si>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</si>
  <si>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</si>
  <si>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</si>
  <si>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</si>
  <si>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</si>
  <si>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</si>
  <si>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</si>
  <si>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</si>
  <si>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</si>
  <si>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</si>
  <si>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</si>
  <si>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</si>
  <si>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</si>
  <si>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</si>
  <si>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</si>
  <si>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</si>
  <si>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</si>
  <si>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</si>
  <si>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</si>
  <si>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</si>
  <si>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</si>
  <si>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</si>
  <si>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</si>
  <si>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</si>
  <si>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</si>
  <si>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</si>
  <si>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</si>
  <si>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</si>
  <si>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</si>
  <si>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</si>
  <si>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</si>
  <si>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</si>
  <si>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</si>
  <si>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</si>
  <si>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</si>
  <si>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</si>
  <si>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</si>
  <si>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</si>
  <si>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</si>
  <si>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</si>
  <si>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</si>
  <si>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</si>
  <si>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</si>
  <si>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</si>
  <si>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</si>
  <si>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</si>
  <si>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</si>
  <si>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</si>
  <si>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</si>
  <si>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</si>
  <si>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</si>
  <si>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</si>
  <si>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</si>
  <si>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</si>
  <si>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</si>
  <si>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</si>
  <si>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</si>
  <si>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</si>
  <si>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</si>
  <si>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</si>
  <si>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</si>
  <si>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</si>
  <si>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</si>
  <si>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</si>
  <si>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</si>
  <si>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</si>
  <si>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</si>
  <si>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</si>
  <si>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</si>
  <si>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</si>
  <si>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</si>
  <si>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</si>
  <si>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</si>
  <si>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</si>
  <si>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</si>
  <si>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</si>
  <si>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</si>
  <si>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</si>
  <si>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</si>
  <si>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</si>
  <si>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</si>
  <si>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</si>
  <si>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</si>
  <si>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</si>
  <si>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</si>
  <si>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</si>
  <si>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</si>
  <si>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</si>
  <si>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</si>
  <si>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</si>
  <si>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</si>
  <si>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</si>
  <si>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</si>
  <si>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</si>
  <si>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</si>
  <si>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</si>
  <si>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</si>
  <si>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</si>
  <si>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</si>
  <si>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</si>
  <si>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</si>
  <si>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</si>
  <si>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</si>
  <si>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</si>
  <si>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</si>
  <si>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</si>
  <si>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</si>
  <si>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</si>
  <si>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</si>
  <si>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</si>
  <si>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</si>
  <si>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</si>
  <si>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</si>
  <si>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</si>
  <si>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</si>
  <si>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</si>
  <si>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</si>
  <si>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</si>
  <si>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</si>
  <si>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</si>
  <si>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</si>
  <si>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</si>
  <si>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</si>
  <si>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</si>
  <si>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</si>
  <si>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</si>
  <si>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</si>
  <si>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</si>
  <si>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</si>
  <si>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</si>
  <si>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</si>
  <si>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</si>
  <si>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</si>
  <si>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</si>
  <si>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</si>
  <si>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</si>
  <si>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</si>
  <si>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</si>
  <si>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</si>
  <si>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</si>
  <si>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</si>
  <si>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</si>
  <si>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</si>
  <si>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</si>
  <si>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</si>
  <si>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</si>
  <si>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</si>
  <si>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</si>
  <si>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</si>
  <si>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</si>
  <si>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</si>
  <si>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</si>
  <si>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</si>
  <si>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</si>
  <si>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</si>
  <si>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</si>
  <si>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</si>
  <si>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</si>
  <si>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</si>
  <si>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</si>
  <si>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</si>
  <si>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</si>
  <si>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</si>
  <si>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</si>
  <si>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</si>
  <si>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</si>
  <si>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</si>
  <si>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</si>
  <si>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</si>
  <si>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</si>
  <si>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</si>
  <si>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</si>
  <si>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</si>
  <si>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</si>
  <si>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</si>
  <si>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</si>
  <si>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</si>
  <si>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</si>
  <si>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</si>
  <si>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</si>
  <si>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</si>
  <si>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</si>
  <si>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</si>
  <si>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</si>
  <si>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</si>
  <si>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</si>
  <si>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</si>
  <si>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</si>
  <si>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</si>
  <si>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</si>
  <si>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</si>
  <si>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</si>
  <si>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</si>
  <si>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</si>
  <si>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</si>
  <si>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</si>
  <si>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</si>
  <si>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</si>
  <si>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</si>
  <si>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</si>
  <si>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</si>
  <si>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</si>
  <si>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</si>
  <si>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</si>
  <si>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</si>
  <si>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</si>
  <si>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</si>
  <si>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</si>
  <si>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</si>
  <si>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</si>
  <si>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</si>
  <si>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</si>
  <si>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</si>
  <si>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</si>
  <si>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</si>
  <si>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</si>
  <si>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</si>
  <si>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</si>
  <si>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</si>
  <si>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</si>
  <si>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</si>
  <si>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</si>
  <si>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</si>
  <si>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</si>
  <si>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</si>
  <si>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</si>
  <si>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</si>
  <si>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</si>
  <si>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</si>
  <si>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</si>
  <si>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</si>
  <si>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</si>
  <si>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</si>
  <si>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</si>
  <si>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</si>
  <si>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</si>
  <si>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</si>
  <si>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</si>
  <si>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</si>
  <si>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</si>
  <si>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</si>
  <si>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</si>
  <si>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</si>
  <si>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</si>
  <si>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</si>
  <si>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</si>
  <si>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</si>
  <si>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</si>
  <si>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</si>
  <si>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</si>
  <si>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</si>
  <si>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</si>
  <si>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</si>
  <si>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</si>
  <si>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</si>
  <si>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</si>
  <si>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</si>
  <si>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</si>
  <si>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</si>
  <si>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</si>
  <si>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</si>
  <si>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</si>
  <si>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</si>
  <si>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</si>
  <si>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</si>
  <si>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</si>
  <si>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</si>
  <si>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</si>
  <si>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</si>
  <si>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</si>
  <si>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</si>
  <si>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</si>
  <si>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</si>
  <si>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</si>
  <si>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</si>
  <si>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</si>
  <si>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</si>
  <si>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</si>
  <si>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</si>
  <si>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</si>
  <si>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</si>
  <si>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</si>
  <si>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</si>
  <si>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</si>
  <si>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</si>
  <si>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</si>
  <si>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</si>
  <si>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</si>
  <si>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</si>
  <si>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</si>
  <si>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</si>
  <si>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</si>
  <si>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</si>
  <si>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</si>
  <si>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</si>
  <si>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</si>
  <si>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</si>
  <si>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</si>
  <si>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</si>
  <si>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</si>
  <si>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</si>
  <si>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</si>
  <si>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</si>
  <si>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</si>
  <si>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</si>
  <si>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</si>
  <si>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</si>
  <si>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</si>
  <si>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</si>
  <si>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</si>
  <si>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</si>
  <si>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</si>
  <si>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</si>
  <si>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</si>
  <si>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</si>
  <si>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</si>
  <si>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</si>
  <si>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</si>
  <si>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</si>
  <si>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</si>
  <si>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</si>
  <si>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</si>
  <si>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</si>
  <si>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</si>
  <si>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</si>
  <si>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</si>
  <si>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</si>
  <si>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</si>
  <si>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</si>
  <si>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</si>
  <si>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</si>
  <si>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</si>
  <si>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</si>
  <si>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</si>
  <si>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</si>
  <si>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</si>
  <si>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</si>
  <si>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</si>
  <si>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</si>
  <si>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</si>
  <si>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</si>
  <si>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</si>
  <si>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</si>
  <si>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</si>
  <si>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</si>
  <si>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</si>
  <si>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</si>
  <si>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</si>
  <si>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</si>
  <si>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</si>
  <si>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</si>
  <si>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</si>
  <si>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</si>
  <si>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</si>
  <si>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</si>
  <si>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</si>
  <si>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</si>
  <si>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</si>
  <si>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</si>
  <si>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</si>
  <si>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</si>
  <si>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</si>
  <si>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</si>
  <si>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</si>
  <si>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</si>
  <si>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</si>
  <si>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</si>
  <si>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</si>
  <si>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</si>
  <si>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</si>
  <si>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</si>
  <si>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</si>
  <si>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</si>
  <si>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</si>
  <si>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</si>
  <si>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</si>
  <si>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</si>
  <si>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</si>
  <si>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</si>
  <si>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</si>
  <si>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</si>
  <si>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</si>
  <si>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</si>
  <si>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</si>
  <si>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</si>
  <si>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</si>
  <si>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</si>
  <si>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</si>
  <si>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</si>
  <si>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</si>
  <si>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</si>
  <si>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</si>
  <si>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</si>
  <si>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</si>
  <si>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</si>
  <si>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</si>
  <si>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</si>
  <si>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</si>
  <si>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</si>
  <si>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</si>
  <si>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</si>
  <si>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</si>
  <si>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</si>
  <si>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</si>
  <si>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</si>
  <si>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</si>
  <si>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</si>
  <si>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</si>
  <si>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</si>
  <si>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</si>
  <si>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</si>
  <si>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</si>
  <si>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</si>
  <si>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</si>
  <si>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</si>
  <si>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</si>
  <si>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</si>
  <si>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</si>
  <si>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</si>
  <si>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</si>
  <si>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</si>
  <si>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</si>
  <si>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</si>
  <si>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</si>
  <si>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</si>
  <si>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</si>
  <si>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</si>
  <si>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</si>
  <si>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</si>
  <si>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</si>
  <si>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</si>
  <si>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</si>
  <si>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</si>
  <si>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</si>
  <si>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</si>
  <si>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</si>
  <si>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</si>
  <si>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</si>
  <si>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</si>
  <si>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</si>
  <si>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</si>
  <si>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</si>
  <si>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</si>
  <si>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</si>
  <si>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</si>
  <si>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</si>
  <si>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</si>
  <si>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</si>
  <si>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</si>
  <si>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</si>
  <si>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</si>
  <si>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</si>
  <si>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</si>
  <si>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</si>
  <si>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</si>
  <si>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</si>
  <si>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</si>
  <si>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</si>
  <si>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</si>
  <si>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</si>
  <si>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</si>
  <si>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</si>
  <si>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</si>
  <si>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</si>
  <si>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</si>
  <si>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</si>
  <si>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</si>
  <si>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</si>
  <si>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</si>
  <si>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</si>
  <si>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</si>
  <si>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</si>
  <si>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</si>
  <si>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</si>
  <si>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</si>
  <si>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</si>
  <si>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</si>
  <si>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</si>
  <si>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</si>
  <si>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</si>
  <si>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</si>
  <si>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</si>
  <si>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</si>
  <si>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</si>
  <si>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</si>
  <si>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</si>
  <si>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</si>
  <si>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</si>
  <si>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</si>
  <si>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</si>
  <si>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</si>
  <si>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</si>
  <si>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</si>
  <si>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</si>
  <si>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</si>
  <si>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</si>
  <si>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</si>
  <si>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</si>
  <si>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</si>
  <si>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</si>
  <si>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</si>
  <si>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</si>
  <si>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</si>
  <si>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</si>
  <si>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</si>
  <si>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</si>
  <si>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</si>
  <si>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</si>
  <si>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</si>
  <si>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</si>
  <si>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</si>
  <si>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</si>
  <si>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</si>
  <si>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</si>
  <si>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</si>
  <si>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</si>
  <si>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</si>
  <si>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</si>
  <si>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</si>
  <si>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</si>
  <si>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</si>
  <si>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</si>
  <si>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</si>
  <si>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</si>
  <si>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</si>
  <si>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</si>
  <si>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</si>
  <si>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</si>
  <si>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</si>
  <si>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</si>
  <si>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</si>
  <si>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</si>
  <si>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</si>
  <si>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</si>
  <si>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</si>
  <si>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</si>
  <si>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</si>
  <si>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</si>
  <si>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</si>
  <si>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</si>
  <si>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</si>
  <si>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</si>
  <si>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</si>
  <si>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</si>
  <si>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</si>
  <si>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</si>
  <si>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</si>
  <si>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</si>
  <si>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</si>
  <si>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</si>
  <si>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</si>
  <si>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</si>
  <si>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</si>
  <si>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</si>
  <si>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</si>
  <si>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</si>
  <si>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</si>
  <si>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</si>
  <si>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</si>
  <si>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</si>
  <si>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</si>
  <si>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</si>
  <si>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</si>
  <si>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</si>
  <si>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</si>
  <si>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</si>
  <si>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</si>
  <si>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</si>
  <si>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</si>
  <si>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</si>
  <si>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</si>
  <si>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</si>
  <si>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</si>
  <si>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</si>
  <si>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</si>
  <si>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</si>
  <si>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</si>
  <si>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</si>
  <si>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</si>
  <si>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</si>
  <si>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</si>
  <si>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</si>
  <si>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</si>
  <si>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</si>
  <si>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</si>
  <si>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</si>
  <si>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</si>
  <si>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</si>
  <si>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</si>
  <si>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</si>
  <si>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</si>
  <si>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</si>
  <si>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</si>
  <si>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</si>
  <si>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</si>
  <si>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</si>
  <si>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</si>
  <si>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</si>
  <si>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</si>
  <si>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</si>
  <si>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</si>
  <si>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</si>
  <si>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</si>
  <si>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</si>
  <si>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</si>
  <si>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</si>
  <si>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</si>
  <si>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</si>
  <si>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</si>
  <si>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</si>
  <si>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</si>
  <si>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</si>
  <si>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</si>
  <si>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</si>
  <si>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</si>
  <si>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</si>
  <si>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</si>
  <si>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</si>
  <si>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</si>
  <si>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</si>
  <si>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</si>
  <si>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</si>
  <si>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</si>
  <si>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</si>
  <si>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</si>
  <si>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</si>
  <si>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</si>
  <si>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</si>
  <si>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</si>
  <si>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</si>
  <si>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</si>
  <si>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</si>
  <si>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</si>
  <si>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</si>
  <si>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</si>
  <si>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</si>
  <si>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</si>
  <si>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</si>
  <si>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</si>
  <si>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</si>
  <si>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</si>
  <si>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</si>
  <si>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</si>
  <si>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</si>
  <si>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</si>
  <si>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</si>
  <si>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</si>
  <si>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</si>
  <si>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</si>
  <si>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</si>
  <si>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</si>
  <si>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</si>
  <si>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</si>
  <si>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</si>
  <si>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</si>
  <si>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</si>
  <si>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</si>
  <si>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</si>
  <si>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</si>
  <si>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</si>
  <si>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</si>
  <si>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</si>
  <si>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</si>
  <si>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</si>
  <si>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</si>
  <si>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</si>
  <si>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</si>
  <si>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</si>
  <si>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</si>
  <si>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</si>
  <si>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</si>
  <si>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</si>
  <si>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</si>
  <si>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</si>
  <si>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</si>
  <si>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</si>
  <si>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</si>
  <si>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</si>
  <si>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</si>
  <si>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</si>
  <si>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</si>
  <si>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</si>
  <si>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</si>
  <si>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</si>
  <si>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</si>
  <si>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</si>
  <si>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</si>
  <si>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</si>
  <si>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</si>
  <si>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</si>
  <si>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</si>
  <si>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</si>
  <si>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</si>
  <si>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</si>
  <si>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</si>
  <si>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</si>
  <si>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</si>
  <si>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</si>
  <si>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</si>
  <si>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</si>
  <si>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</si>
  <si>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</si>
  <si>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</si>
  <si>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</si>
  <si>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</si>
  <si>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</si>
  <si>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</si>
  <si>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</si>
  <si>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</si>
  <si>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</si>
  <si>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</si>
  <si>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</si>
  <si>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</si>
  <si>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</si>
  <si>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</si>
  <si>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</si>
  <si>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</si>
  <si>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</si>
  <si>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</si>
  <si>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</si>
  <si>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</si>
  <si>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</si>
  <si>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</si>
  <si>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</si>
  <si>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</si>
  <si>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</si>
  <si>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</si>
  <si>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</si>
  <si>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</si>
  <si>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</si>
  <si>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</si>
  <si>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</si>
  <si>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</si>
  <si>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</si>
  <si>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</si>
  <si>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</si>
  <si>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</si>
  <si>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</si>
  <si>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</si>
  <si>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</si>
  <si>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</si>
  <si>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</si>
  <si>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</si>
  <si>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</si>
  <si>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</si>
  <si>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</si>
  <si>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</si>
  <si>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</si>
  <si>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</si>
  <si>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</si>
  <si>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</si>
  <si>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</si>
  <si>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</si>
  <si>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</si>
  <si>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</si>
  <si>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</si>
  <si>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</si>
  <si>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</si>
  <si>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</si>
  <si>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</si>
  <si>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</si>
  <si>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</si>
  <si>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</si>
  <si>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</si>
  <si>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</si>
  <si>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</si>
  <si>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</si>
  <si>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</si>
  <si>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</si>
  <si>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</si>
  <si>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</si>
  <si>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</si>
  <si>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</si>
  <si>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</si>
  <si>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</si>
  <si>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</si>
  <si>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</si>
  <si>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</si>
  <si>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</si>
  <si>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</si>
  <si>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</si>
  <si>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</si>
  <si>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</si>
  <si>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</si>
  <si>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</si>
  <si>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</si>
  <si>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</si>
  <si>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</si>
  <si>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</si>
  <si>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</si>
  <si>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</si>
  <si>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</si>
  <si>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</si>
  <si>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</si>
  <si>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</si>
  <si>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</si>
  <si>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</si>
  <si>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</si>
  <si>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</si>
  <si>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</si>
  <si>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</si>
  <si>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</si>
  <si>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</si>
  <si>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</si>
  <si>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</si>
  <si>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</si>
  <si>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</si>
  <si>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</si>
  <si>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</si>
  <si>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</si>
  <si>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</si>
  <si>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</si>
  <si>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</si>
  <si>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</si>
  <si>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</si>
  <si>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</si>
  <si>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</si>
  <si>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</si>
  <si>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</si>
  <si>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</si>
  <si>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</si>
  <si>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</si>
  <si>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</si>
  <si>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</si>
  <si>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</si>
  <si>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</si>
  <si>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</si>
  <si>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</si>
  <si>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</si>
  <si>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</si>
  <si>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</si>
  <si>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</si>
  <si>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</si>
  <si>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</si>
  <si>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</si>
  <si>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</si>
  <si>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</si>
  <si>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</si>
  <si>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</si>
  <si>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</si>
  <si>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</si>
  <si>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</si>
  <si>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</si>
  <si>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</si>
  <si>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</si>
  <si>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</si>
  <si>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</si>
  <si>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</si>
  <si>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</si>
  <si>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</si>
  <si>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</si>
  <si>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</si>
  <si>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</si>
  <si>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</si>
  <si>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</si>
  <si>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</si>
  <si>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</si>
  <si>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</si>
  <si>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</si>
  <si>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</si>
  <si>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</si>
  <si>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</si>
  <si>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</si>
  <si>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</si>
  <si>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</si>
  <si>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</si>
  <si>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</si>
  <si>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</si>
  <si>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</si>
  <si>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</si>
  <si>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</si>
  <si>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</si>
  <si>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</si>
  <si>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</si>
  <si>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</si>
  <si>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</si>
  <si>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</si>
  <si>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</si>
  <si>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</si>
  <si>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</si>
  <si>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</si>
  <si>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</si>
  <si>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</si>
  <si>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</si>
  <si>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</si>
  <si>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</si>
  <si>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</si>
  <si>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</si>
  <si>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</si>
  <si>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</si>
  <si>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</si>
  <si>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</si>
  <si>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</si>
  <si>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</si>
  <si>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</si>
  <si>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</si>
  <si>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</si>
  <si>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</si>
  <si>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</si>
  <si>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</si>
  <si>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</si>
  <si>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</si>
  <si>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</si>
  <si>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</si>
  <si>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</si>
  <si>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</si>
  <si>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</si>
  <si>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</si>
  <si>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</si>
  <si>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</si>
  <si>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</si>
  <si>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</si>
  <si>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</si>
  <si>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</si>
  <si>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</si>
  <si>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</si>
  <si>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</si>
  <si>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</si>
  <si>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</si>
  <si>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</si>
  <si>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</si>
  <si>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</si>
  <si>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</si>
  <si>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</si>
  <si>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</si>
  <si>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</si>
  <si>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</si>
  <si>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</si>
  <si>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</si>
  <si>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</si>
  <si>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</si>
  <si>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</si>
  <si>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</si>
  <si>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</si>
  <si>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</si>
  <si>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</si>
  <si>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</si>
  <si>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</si>
  <si>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</si>
  <si>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</si>
  <si>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</si>
  <si>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</si>
  <si>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</si>
  <si>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</si>
  <si>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</si>
  <si>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</si>
  <si>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</si>
  <si>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</si>
  <si>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</si>
  <si>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</si>
  <si>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</si>
  <si>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</si>
  <si>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</si>
  <si>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</si>
  <si>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</si>
  <si>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</si>
  <si>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</si>
  <si>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</si>
  <si>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</si>
  <si>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</si>
  <si>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</si>
  <si>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</si>
  <si>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</si>
  <si>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</si>
  <si>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</si>
  <si>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</si>
  <si>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</si>
  <si>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</si>
  <si>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</si>
  <si>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</si>
  <si>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</si>
  <si>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</si>
  <si>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</si>
  <si>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</si>
  <si>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</si>
  <si>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</si>
  <si>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</si>
  <si>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</si>
  <si>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</si>
  <si>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</si>
  <si>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</si>
  <si>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</si>
  <si>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</si>
  <si>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</si>
  <si>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</si>
  <si>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</si>
  <si>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</si>
  <si>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</si>
  <si>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</si>
  <si>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</si>
  <si>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</si>
  <si>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</si>
  <si>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</si>
  <si>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</si>
  <si>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</si>
  <si>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</si>
  <si>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</si>
  <si>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</si>
  <si>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</si>
  <si>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</si>
  <si>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</si>
  <si>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</si>
  <si>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</si>
  <si>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</si>
  <si>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</si>
  <si>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</si>
  <si>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</si>
  <si>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</si>
  <si>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</si>
  <si>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</si>
  <si>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</si>
  <si>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</si>
  <si>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</si>
  <si>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</si>
  <si>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</si>
  <si>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</si>
  <si>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</si>
  <si>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</si>
  <si>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</si>
  <si>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</si>
  <si>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</si>
  <si>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</si>
  <si>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</si>
  <si>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</si>
  <si>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</si>
  <si>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</si>
  <si>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</si>
  <si>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</si>
  <si>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</si>
  <si>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</si>
  <si>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</si>
  <si>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</si>
  <si>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</si>
  <si>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</si>
  <si>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</si>
  <si>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</si>
  <si>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</si>
  <si>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</si>
  <si>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</si>
  <si>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</si>
  <si>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</si>
  <si>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</si>
  <si>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</si>
  <si>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</si>
  <si>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</si>
  <si>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</si>
  <si>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</si>
  <si>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</si>
  <si>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</si>
  <si>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</si>
  <si>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</si>
  <si>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</si>
  <si>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</si>
  <si>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</si>
  <si>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</si>
  <si>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</si>
  <si>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</si>
  <si>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</si>
  <si>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</si>
  <si>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</si>
  <si>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</si>
  <si>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</si>
  <si>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</si>
  <si>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</si>
  <si>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</si>
  <si>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</si>
  <si>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</si>
  <si>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</si>
  <si>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</si>
  <si>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</si>
  <si>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</si>
  <si>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</si>
  <si>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</si>
  <si>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</si>
  <si>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</si>
  <si>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</si>
  <si>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</si>
  <si>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</si>
  <si>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</si>
  <si>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</si>
  <si>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</si>
  <si>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</si>
  <si>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</si>
  <si>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</si>
  <si>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</si>
  <si>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</si>
  <si>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</si>
  <si>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</si>
  <si>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</si>
  <si>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</si>
  <si>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</si>
  <si>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</si>
  <si>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</si>
  <si>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</si>
  <si>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</si>
  <si>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</si>
  <si>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</si>
  <si>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</si>
  <si>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</si>
  <si>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</si>
  <si>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</si>
  <si>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</si>
  <si>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</si>
  <si>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</si>
  <si>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</si>
  <si>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</si>
  <si>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</si>
  <si>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</si>
  <si>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</si>
  <si>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</si>
  <si>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</si>
  <si>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</si>
  <si>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</si>
  <si>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</si>
  <si>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</si>
  <si>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</si>
  <si>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</si>
  <si>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</si>
  <si>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</si>
  <si>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</si>
  <si>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</si>
  <si>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</si>
  <si>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</si>
  <si>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</si>
  <si>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</si>
  <si>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</si>
  <si>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</si>
  <si>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</si>
  <si>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</si>
  <si>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</si>
  <si>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</si>
  <si>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</si>
  <si>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</si>
  <si>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</si>
  <si>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</si>
  <si>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</si>
  <si>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</si>
  <si>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</si>
  <si>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</si>
  <si>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</si>
  <si>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</si>
  <si>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</si>
  <si>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</si>
  <si>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</si>
  <si>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</si>
  <si>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</si>
  <si>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</si>
  <si>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</si>
  <si>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</si>
  <si>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</si>
  <si>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</si>
  <si>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</si>
  <si>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</si>
  <si>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</si>
  <si>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</si>
  <si>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</si>
  <si>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</si>
  <si>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</si>
  <si>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</si>
  <si>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</si>
  <si>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</si>
  <si>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</si>
  <si>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</si>
  <si>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</si>
  <si>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</si>
  <si>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</si>
  <si>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</si>
  <si>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</si>
  <si>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</si>
  <si>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</si>
  <si>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</si>
  <si>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</si>
  <si>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</si>
  <si>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</si>
  <si>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</si>
  <si>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</si>
  <si>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</si>
  <si>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</si>
  <si>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</si>
  <si>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</si>
  <si>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</si>
  <si>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</si>
  <si>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</si>
  <si>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</si>
  <si>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</si>
  <si>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</si>
  <si>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</si>
  <si>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</si>
  <si>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</si>
  <si>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</si>
  <si>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</si>
  <si>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</si>
  <si>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</si>
  <si>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</si>
  <si>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</si>
  <si>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</si>
  <si>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</si>
  <si>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</si>
  <si>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</si>
  <si>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</si>
  <si>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</si>
  <si>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</si>
  <si>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</si>
  <si>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</si>
  <si>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</si>
  <si>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</si>
  <si>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</si>
  <si>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</si>
  <si>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</si>
  <si>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</si>
  <si>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</si>
  <si>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</si>
  <si>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</si>
  <si>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</si>
  <si>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</si>
  <si>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</si>
  <si>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</si>
  <si>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</si>
  <si>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</si>
  <si>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</si>
  <si>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</si>
  <si>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</si>
  <si>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</si>
  <si>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</si>
  <si>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</si>
  <si>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</si>
  <si>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</si>
  <si>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</si>
  <si>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</si>
  <si>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</si>
  <si>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</si>
  <si>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</si>
  <si>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</si>
  <si>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</si>
  <si>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</si>
  <si>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</si>
  <si>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</si>
  <si>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</si>
  <si>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</si>
  <si>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</si>
  <si>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</si>
  <si>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</si>
  <si>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</si>
  <si>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</si>
  <si>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</si>
  <si>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</si>
  <si>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</si>
  <si>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</si>
  <si>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</si>
  <si>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</si>
  <si>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</si>
  <si>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</si>
  <si>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</si>
  <si>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</si>
  <si>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</si>
  <si>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</si>
  <si>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</si>
  <si>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</si>
  <si>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</si>
  <si>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</si>
  <si>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</si>
  <si>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</si>
  <si>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</si>
  <si>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</si>
  <si>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</si>
  <si>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</si>
  <si>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</si>
  <si>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</si>
  <si>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</si>
  <si>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</si>
  <si>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</si>
  <si>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</si>
  <si>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</si>
  <si>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</si>
  <si>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</si>
  <si>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</si>
  <si>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</si>
  <si>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</si>
  <si>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</si>
  <si>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</si>
  <si>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</si>
  <si>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</si>
  <si>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</si>
  <si>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</si>
  <si>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</si>
  <si>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</si>
  <si>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</si>
  <si>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</si>
  <si>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</si>
  <si>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</si>
  <si>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</si>
  <si>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</si>
  <si>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</si>
  <si>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</si>
  <si>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</si>
  <si>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</si>
  <si>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</si>
  <si>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</si>
  <si>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</si>
  <si>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</si>
  <si>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</si>
  <si>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</si>
  <si>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</si>
  <si>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</si>
  <si>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</si>
  <si>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</si>
  <si>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</si>
  <si>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</si>
  <si>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</si>
  <si>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</si>
  <si>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</si>
  <si>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</si>
  <si>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</si>
  <si>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</si>
  <si>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</si>
  <si>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</si>
  <si>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</si>
  <si>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</si>
  <si>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</si>
  <si>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</si>
  <si>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</si>
  <si>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</si>
  <si>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</si>
  <si>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</si>
  <si>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</si>
  <si>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</si>
  <si>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</si>
  <si>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</si>
  <si>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</si>
  <si>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</si>
  <si>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</si>
  <si>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</si>
  <si>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Fora ponta</t>
  </si>
  <si>
    <t>CELESC-DIS</t>
  </si>
  <si>
    <t>RESOLUÇÃO HOMOLOGATÓRIA Nº 3.094, DE 16 DE AGOSTO DE 2022</t>
  </si>
  <si>
    <t>Energia suprimento permissionária</t>
  </si>
  <si>
    <t>COOPERATIVA DE ENERGIA TREVISO</t>
  </si>
  <si>
    <t>000078895203</t>
  </si>
  <si>
    <t>000079235822</t>
  </si>
  <si>
    <t>000079235824</t>
  </si>
  <si>
    <t>000082044249</t>
  </si>
  <si>
    <t>000082580888</t>
  </si>
  <si>
    <t>000082760182</t>
  </si>
  <si>
    <t>000085888702</t>
  </si>
  <si>
    <t>000086062684</t>
  </si>
  <si>
    <t>000086230758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</si>
  <si>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</si>
  <si>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</si>
  <si>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</si>
  <si>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</si>
  <si>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</si>
  <si>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</si>
  <si>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</si>
  <si>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</si>
  <si>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</si>
  <si>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Branca</t>
  </si>
  <si>
    <t>Intermediário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</si>
  <si>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</si>
  <si>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</si>
  <si>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</si>
  <si>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</si>
  <si>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</si>
  <si>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</si>
  <si>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Azul</t>
  </si>
  <si>
    <t>Consumo próprio</t>
  </si>
  <si>
    <t>PROJETADO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</si>
  <si>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</si>
  <si>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</si>
  <si>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</si>
  <si>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</si>
  <si>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</si>
  <si>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</si>
  <si>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</si>
  <si>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</si>
  <si>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</si>
  <si>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</si>
  <si>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</si>
  <si>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</si>
  <si>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</si>
  <si>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000.160.772.124</t>
  </si>
  <si>
    <t>000.160.772.125</t>
  </si>
  <si>
    <t>000.160.772.126</t>
  </si>
  <si>
    <t>000088666578</t>
  </si>
  <si>
    <t>000088666581</t>
  </si>
  <si>
    <t>000088839548</t>
  </si>
  <si>
    <t>000101621533</t>
  </si>
  <si>
    <t>000101621536</t>
  </si>
  <si>
    <t>000101622768</t>
  </si>
  <si>
    <t>000131728136</t>
  </si>
  <si>
    <t>000131729444</t>
  </si>
  <si>
    <t>000131900959</t>
  </si>
  <si>
    <t>0001351693814</t>
  </si>
  <si>
    <t>000135334110</t>
  </si>
  <si>
    <t>000135500343</t>
  </si>
  <si>
    <t>000138230529</t>
  </si>
  <si>
    <t>000138392053</t>
  </si>
  <si>
    <t>000138392058</t>
  </si>
  <si>
    <t>000140761461</t>
  </si>
  <si>
    <t>000140761463</t>
  </si>
  <si>
    <t>000140933638</t>
  </si>
  <si>
    <t>000144212005</t>
  </si>
  <si>
    <t>000144220243</t>
  </si>
  <si>
    <t>000144220244</t>
  </si>
  <si>
    <t>000147979992</t>
  </si>
  <si>
    <t>000147979994</t>
  </si>
  <si>
    <t>000147982595</t>
  </si>
  <si>
    <t>000151932108</t>
  </si>
  <si>
    <t>000151932478</t>
  </si>
  <si>
    <t>000151933249</t>
  </si>
  <si>
    <t>000156062067</t>
  </si>
  <si>
    <t>000156065283</t>
  </si>
  <si>
    <t>000156067468</t>
  </si>
  <si>
    <t>000164661315</t>
  </si>
  <si>
    <t>000164663458</t>
  </si>
  <si>
    <t>000164663461</t>
  </si>
  <si>
    <t>Carta 52/2022, de 31/08/2022</t>
  </si>
  <si>
    <t>DIC FIC até agosto-21 considerado no RTA 2021</t>
  </si>
  <si>
    <t>PIS COFINS até agosto-21 considerado no RTA de 2021</t>
  </si>
  <si>
    <t>diferimento 2021 PIS COFINS TE</t>
  </si>
  <si>
    <t>diferimento 2021 PIS COFINSTUSD</t>
  </si>
  <si>
    <t>Diferimento de Parcela B</t>
  </si>
  <si>
    <t xml:space="preserve">Diferimento de Energia </t>
  </si>
  <si>
    <t>Repasse de ICMS</t>
  </si>
  <si>
    <t xml:space="preserve">Reversão do Diferimento de Compra de Energia </t>
  </si>
  <si>
    <t>Reversão do Diferimento de Parcela B</t>
  </si>
  <si>
    <t>Reversão do Diferimento de Pis Confins TUSD</t>
  </si>
  <si>
    <t>Reversão do Diferimento de Pis Confins TE</t>
  </si>
  <si>
    <t xml:space="preserve">Reversão do Diferimento de Pis Cofins </t>
  </si>
  <si>
    <t>Diferimento Pis Cofins TUSD</t>
  </si>
  <si>
    <t>Diferimento Pis Cofins TE</t>
  </si>
  <si>
    <t>&gt; mercado até julho</t>
  </si>
  <si>
    <t>Diferimento PIS COFINS</t>
  </si>
  <si>
    <t>Subvenção Baixa Densidade Carga</t>
  </si>
  <si>
    <t>Diferimento da Previsão de Risco Hidrologico - Energia de Revenda</t>
  </si>
  <si>
    <t>Diferimento da Previsão de Risco Hidrologico - Perda Não Técnica</t>
  </si>
  <si>
    <t>Diferimento da Previsão de Risco Hidrologico - Perda Técnica</t>
  </si>
  <si>
    <t>Diferimento da Previsão de Risco Hidrologico - Perda Rede Básica sobre Dist.</t>
  </si>
  <si>
    <t>Diferimento da Previsão de Risco Hidrologico - Perda Rede Básica sobre mercado Cat.</t>
  </si>
  <si>
    <t>Diferimento da Previsão da Risco Hidrológico</t>
  </si>
  <si>
    <t>Diferimento CUSD</t>
  </si>
  <si>
    <t>Diferimento Transporte - Uso do Sistema de Distribuição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</si>
</sst>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  <numFmt numFmtId="281" formatCode="_-* #,##0.000_-;\-* #,##0.000_-;_-* &quot;-&quot;???_-;_-@_-"/>
  </numFmts>
  <fonts count="333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2"/>
      <color rgb="FFFF0000"/>
      <name val="Arial Narrow"/>
      <family val="2"/>
    </font>
    <font>
      <sz val="10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80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3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44" borderId="179" xfId="815" applyFont="1" applyFill="1" applyBorder="1" applyAlignment="1">
      <alignment horizontal="center" vertical="center"/>
    </xf>
    <xf numFmtId="167" fontId="31" fillId="44" borderId="180" xfId="815" applyFont="1" applyFill="1" applyBorder="1" applyAlignment="1">
      <alignment horizontal="center" vertical="center"/>
    </xf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0" fontId="287" fillId="43" borderId="178" xfId="832" applyFont="1" applyFill="1" applyBorder="1" applyAlignment="1">
      <alignment horizontal="center"/>
    </xf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4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0" fontId="284" fillId="111" borderId="10" xfId="0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6" fillId="113" borderId="207" xfId="0" applyFont="1" applyFill="1" applyBorder="1"/>
    <xf numFmtId="0" fontId="327" fillId="42" borderId="20" xfId="0" applyFont="1" applyFill="1" applyBorder="1"/>
    <xf numFmtId="167" fontId="327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6" fillId="113" borderId="207" xfId="43169" applyFont="1" applyFill="1" applyBorder="1"/>
    <xf numFmtId="3" fontId="326" fillId="113" borderId="208" xfId="43169" applyFont="1" applyFill="1" applyBorder="1"/>
    <xf numFmtId="0" fontId="324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4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8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29" fillId="0" borderId="178" xfId="0" applyNumberFormat="1" applyFont="1" applyBorder="1" applyAlignment="1">
      <alignment horizontal="right"/>
    </xf>
    <xf numFmtId="10" fontId="329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9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0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43" fontId="209" fillId="59" borderId="166" xfId="847" applyNumberFormat="1" applyFont="1" applyFill="1" applyBorder="1" applyAlignment="1" applyProtection="1">
      <alignment horizontal="right"/>
      <protection hidden="1"/>
    </xf>
    <xf numFmtId="168" fontId="31" fillId="42" borderId="144" xfId="863" applyFont="1" applyFill="1" applyBorder="1" applyAlignment="1">
      <alignment horizontal="right"/>
    </xf>
    <xf numFmtId="168" fontId="31" fillId="42" borderId="0" xfId="863" applyFont="1" applyFill="1" applyBorder="1" applyAlignment="1">
      <alignment horizontal="right"/>
    </xf>
    <xf numFmtId="10" fontId="31" fillId="44" borderId="166" xfId="847" applyNumberFormat="1" applyFont="1" applyFill="1" applyBorder="1" applyAlignment="1">
      <alignment horizontal="right"/>
    </xf>
    <xf numFmtId="2" fontId="284" fillId="42" borderId="0" xfId="863" applyNumberFormat="1" applyFont="1" applyFill="1" applyBorder="1"/>
    <xf numFmtId="2" fontId="284" fillId="42" borderId="0" xfId="815" applyNumberFormat="1" applyFont="1" applyFill="1" applyBorder="1"/>
    <xf numFmtId="2" fontId="126" fillId="42" borderId="0" xfId="863" applyNumberFormat="1" applyFont="1" applyFill="1" applyBorder="1" applyAlignment="1">
      <alignment horizontal="center" vertical="center"/>
    </xf>
    <xf numFmtId="2" fontId="126" fillId="42" borderId="0" xfId="0" applyNumberFormat="1" applyFont="1" applyFill="1" applyAlignment="1">
      <alignment horizontal="center" vertical="center"/>
    </xf>
    <xf numFmtId="2" fontId="284" fillId="42" borderId="0" xfId="5583" applyNumberFormat="1" applyFont="1" applyFill="1" applyBorder="1"/>
    <xf numFmtId="2" fontId="284" fillId="119" borderId="0" xfId="5583" applyNumberFormat="1" applyFont="1" applyFill="1" applyBorder="1" applyAlignment="1">
      <alignment vertical="center"/>
    </xf>
    <xf numFmtId="2" fontId="284" fillId="112" borderId="0" xfId="5583" applyNumberFormat="1" applyFont="1" applyFill="1" applyBorder="1" applyAlignment="1">
      <alignment vertical="center"/>
    </xf>
    <xf numFmtId="2" fontId="284" fillId="45" borderId="10" xfId="5583" applyNumberFormat="1" applyFont="1" applyFill="1" applyBorder="1" applyAlignment="1">
      <alignment vertical="center"/>
    </xf>
    <xf numFmtId="2" fontId="284" fillId="111" borderId="10" xfId="5583" applyNumberFormat="1" applyFont="1" applyFill="1" applyBorder="1" applyAlignment="1">
      <alignment vertical="center"/>
    </xf>
    <xf numFmtId="2" fontId="284" fillId="111" borderId="10" xfId="815" applyNumberFormat="1" applyFont="1" applyFill="1" applyBorder="1"/>
    <xf numFmtId="167" fontId="283" fillId="0" borderId="187" xfId="815" applyFont="1" applyFill="1" applyBorder="1"/>
    <xf numFmtId="167" fontId="283" fillId="0" borderId="193" xfId="815" applyFont="1" applyBorder="1"/>
    <xf numFmtId="167" fontId="283" fillId="0" borderId="196" xfId="815" applyFont="1" applyFill="1" applyBorder="1"/>
    <xf numFmtId="10" fontId="44" fillId="41" borderId="0" xfId="847" applyNumberFormat="1" applyFont="1" applyFill="1"/>
    <xf numFmtId="4" fontId="331" fillId="0" borderId="0" xfId="0" applyNumberFormat="1" applyFont="1"/>
    <xf numFmtId="205" fontId="331" fillId="0" borderId="0" xfId="0" applyNumberFormat="1" applyFont="1"/>
    <xf numFmtId="0" fontId="332" fillId="0" borderId="0" xfId="0" pivotButton="1" applyFont="1"/>
    <xf numFmtId="0" fontId="332" fillId="0" borderId="0" xfId="0" applyFont="1"/>
    <xf numFmtId="205" fontId="332" fillId="0" borderId="0" xfId="0" applyNumberFormat="1" applyFont="1" applyAlignment="1">
      <alignment horizontal="left"/>
    </xf>
    <xf numFmtId="168" fontId="332" fillId="0" borderId="0" xfId="0" applyNumberFormat="1" applyFont="1"/>
    <xf numFmtId="216" fontId="206" fillId="0" borderId="0" xfId="0" applyNumberFormat="1" applyFont="1"/>
    <xf numFmtId="216" fontId="209" fillId="59" borderId="186" xfId="863" applyNumberFormat="1" applyFont="1" applyFill="1" applyBorder="1"/>
    <xf numFmtId="281" fontId="206" fillId="0" borderId="0" xfId="0" applyNumberFormat="1" applyFont="1"/>
    <xf numFmtId="168" fontId="284" fillId="42" borderId="10" xfId="863" applyFont="1" applyFill="1" applyBorder="1"/>
    <xf numFmtId="10" fontId="44" fillId="0" borderId="0" xfId="847" applyNumberFormat="1" applyFont="1" applyFill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44" borderId="167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167" fontId="31" fillId="44" borderId="170" xfId="815" applyFont="1" applyFill="1" applyBorder="1" applyAlignment="1">
      <alignment horizontal="center" vertical="center"/>
    </xf>
    <xf numFmtId="167" fontId="31" fillId="44" borderId="175" xfId="815" applyFont="1" applyFill="1" applyBorder="1" applyAlignment="1">
      <alignment horizontal="center" vertical="center"/>
    </xf>
    <xf numFmtId="167" fontId="31" fillId="44" borderId="172" xfId="815" applyFont="1" applyFill="1" applyBorder="1" applyAlignment="1">
      <alignment horizontal="center" vertical="center"/>
    </xf>
    <xf numFmtId="167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0" fontId="273" fillId="0" borderId="144" xfId="0" applyFont="1" applyBorder="1" applyAlignment="1">
      <alignment horizontal="center" vertical="center" wrapText="1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167" fontId="111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0" fontId="144" fillId="41" borderId="0" xfId="907" applyFont="1" applyFill="1" applyAlignment="1">
      <alignment horizontal="center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4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FFCC"/>
      <color rgb="FFFFCC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[Persas_RTA_2022_Certrel.xlsx]Calc_Mercado!Tabela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3727.5729999999999</c:v>
                </c:pt>
                <c:pt idx="1">
                  <c:v>3790.1859999999992</c:v>
                </c:pt>
                <c:pt idx="2">
                  <c:v>3734.6080000000002</c:v>
                </c:pt>
                <c:pt idx="3">
                  <c:v>3413.5770000000002</c:v>
                </c:pt>
                <c:pt idx="4">
                  <c:v>3640.5160000000005</c:v>
                </c:pt>
                <c:pt idx="5">
                  <c:v>3737.6970000000001</c:v>
                </c:pt>
                <c:pt idx="6">
                  <c:v>4136.8020000000006</c:v>
                </c:pt>
                <c:pt idx="7">
                  <c:v>3669.3120000000004</c:v>
                </c:pt>
                <c:pt idx="8">
                  <c:v>3772.3970000000004</c:v>
                </c:pt>
                <c:pt idx="9">
                  <c:v>3894.6779999999994</c:v>
                </c:pt>
                <c:pt idx="10">
                  <c:v>3651.1319999999996</c:v>
                </c:pt>
                <c:pt idx="11">
                  <c:v>3651.1319999999996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4.7784235145943967E-2</c:v>
                </c:pt>
                <c:pt idx="1">
                  <c:v>3.1339994686459577E-3</c:v>
                </c:pt>
                <c:pt idx="2">
                  <c:v>1.198552588645883E-2</c:v>
                </c:pt>
                <c:pt idx="3">
                  <c:v>9.0004239975646737E-3</c:v>
                </c:pt>
                <c:pt idx="4">
                  <c:v>-0.1027</c:v>
                </c:pt>
                <c:pt idx="5">
                  <c:v>0.1168</c:v>
                </c:pt>
                <c:pt idx="6">
                  <c:v>8.6014610421965454E-2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0.48391692529062974</c:v>
                </c:pt>
                <c:pt idx="1">
                  <c:v>0.20841451158467938</c:v>
                </c:pt>
                <c:pt idx="2">
                  <c:v>0.16473463619002979</c:v>
                </c:pt>
                <c:pt idx="3">
                  <c:v>0</c:v>
                </c:pt>
                <c:pt idx="4">
                  <c:v>0</c:v>
                </c:pt>
                <c:pt idx="5">
                  <c:v>2.1208083978897032E-2</c:v>
                </c:pt>
                <c:pt idx="6">
                  <c:v>0.11969076861040683</c:v>
                </c:pt>
                <c:pt idx="7">
                  <c:v>2.0350743453573222E-3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14094180.963581188</c:v>
                </c:pt>
                <c:pt idx="1">
                  <c:v>14343053.986877607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5845886.3369916435</c:v>
                </c:pt>
                <c:pt idx="1">
                  <c:v>6177301.1752223326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4795992.6437891256</c:v>
                </c:pt>
                <c:pt idx="1">
                  <c:v>4882651.6637400007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2915195.5257980474</c:v>
                </c:pt>
                <c:pt idx="1">
                  <c:v>4236489.6192647424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0.36559570587345352</c:v>
                </c:pt>
                <c:pt idx="1">
                  <c:v>0.15745564268352594</c:v>
                </c:pt>
                <c:pt idx="2">
                  <c:v>0.12445581555869314</c:v>
                </c:pt>
                <c:pt idx="3">
                  <c:v>0.10798553879792132</c:v>
                </c:pt>
                <c:pt idx="4">
                  <c:v>0.24450729708640606</c:v>
                </c:pt>
                <c:pt idx="5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Certrel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552.46</c:v>
                </c:pt>
                <c:pt idx="1">
                  <c:v>620.12</c:v>
                </c:pt>
                <c:pt idx="2">
                  <c:v>691.03000000000009</c:v>
                </c:pt>
                <c:pt idx="3">
                  <c:v>729.03</c:v>
                </c:pt>
                <c:pt idx="4">
                  <c:v>782.31000000000006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424.78869206544368</c:v>
                </c:pt>
                <c:pt idx="1">
                  <c:v>445.81088223552553</c:v>
                </c:pt>
                <c:pt idx="2">
                  <c:v>503.87450445014673</c:v>
                </c:pt>
                <c:pt idx="3">
                  <c:v>660.65675768779363</c:v>
                </c:pt>
                <c:pt idx="4">
                  <c:v>717.39033665392901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398.19247966290487</c:v>
                </c:pt>
                <c:pt idx="1">
                  <c:v>411.8449687462259</c:v>
                </c:pt>
                <c:pt idx="2">
                  <c:v>421.8876631731506</c:v>
                </c:pt>
                <c:pt idx="3">
                  <c:v>462.72543391618262</c:v>
                </c:pt>
                <c:pt idx="4">
                  <c:v>503.10883041908795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Certrel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293.41000000000003</c:v>
                </c:pt>
                <c:pt idx="1">
                  <c:v>293.20000000000005</c:v>
                </c:pt>
                <c:pt idx="2">
                  <c:v>369.56</c:v>
                </c:pt>
                <c:pt idx="3" formatCode="_(* #,##0.00_);_(* \(#,##0.00\);_(* &quot;-&quot;??_);_(@_)">
                  <c:v>364.44</c:v>
                </c:pt>
                <c:pt idx="4" formatCode="_(* #,##0.00_);_(* \(#,##0.00\);_(* &quot;-&quot;??_);_(@_)">
                  <c:v>507.27</c:v>
                </c:pt>
                <c:pt idx="5" formatCode="_(* #,##0.00_);_(* \(#,##0.00\);_(* &quot;-&quot;??_);_(@_)">
                  <c:v>552.46</c:v>
                </c:pt>
                <c:pt idx="6" formatCode="_(* #,##0.00_);_(* \(#,##0.00\);_(* &quot;-&quot;??_);_(@_)">
                  <c:v>620.12</c:v>
                </c:pt>
                <c:pt idx="7" formatCode="_(* #,##0.00_);_(* \(#,##0.00\);_(* &quot;-&quot;??_);_(@_)">
                  <c:v>691.03000000000009</c:v>
                </c:pt>
                <c:pt idx="8" formatCode="_(* #,##0.00_);_(* \(#,##0.00\);_(* &quot;-&quot;??_);_(@_)">
                  <c:v>729.03</c:v>
                </c:pt>
                <c:pt idx="9" formatCode="_(* #,##0.00_);_(* \(#,##0.00\);_(* &quot;-&quot;??_);_(@_)">
                  <c:v>782.31000000000006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293.41000000000003</c:v>
                </c:pt>
                <c:pt idx="1">
                  <c:v>330.99430855410827</c:v>
                </c:pt>
                <c:pt idx="2">
                  <c:v>355.99512604738027</c:v>
                </c:pt>
                <c:pt idx="3">
                  <c:v>396.89531806727172</c:v>
                </c:pt>
                <c:pt idx="4">
                  <c:v>390.10344041376135</c:v>
                </c:pt>
                <c:pt idx="5">
                  <c:v>424.78869206544368</c:v>
                </c:pt>
                <c:pt idx="6">
                  <c:v>445.81088223552553</c:v>
                </c:pt>
                <c:pt idx="7">
                  <c:v>503.87450445014673</c:v>
                </c:pt>
                <c:pt idx="8">
                  <c:v>660.65675768779363</c:v>
                </c:pt>
                <c:pt idx="9">
                  <c:v>717.39033665392901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293.41000000000003</c:v>
                </c:pt>
                <c:pt idx="1">
                  <c:v>312.51970482695697</c:v>
                </c:pt>
                <c:pt idx="2">
                  <c:v>342.28869858693764</c:v>
                </c:pt>
                <c:pt idx="3">
                  <c:v>373.00738963217441</c:v>
                </c:pt>
                <c:pt idx="4">
                  <c:v>382.1681097975013</c:v>
                </c:pt>
                <c:pt idx="5">
                  <c:v>398.19247966290487</c:v>
                </c:pt>
                <c:pt idx="6">
                  <c:v>411.8449687462259</c:v>
                </c:pt>
                <c:pt idx="7">
                  <c:v>421.8876631731506</c:v>
                </c:pt>
                <c:pt idx="8">
                  <c:v>462.72543391618262</c:v>
                </c:pt>
                <c:pt idx="9">
                  <c:v>503.10883041908795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1857375</xdr:colOff>
          <xdr:row>16</xdr:row>
          <xdr:rowOff>19050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209550</xdr:colOff>
          <xdr:row>10</xdr:row>
          <xdr:rowOff>209550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28575</xdr:rowOff>
        </xdr:from>
        <xdr:to>
          <xdr:col>4</xdr:col>
          <xdr:colOff>190500</xdr:colOff>
          <xdr:row>13</xdr:row>
          <xdr:rowOff>171450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171450</xdr:colOff>
          <xdr:row>12</xdr:row>
          <xdr:rowOff>190500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266700</xdr:colOff>
          <xdr:row>0</xdr:row>
          <xdr:rowOff>200025</xdr:rowOff>
        </xdr:from>
        <xdr:to>
          <xdr:col>6</xdr:col>
          <xdr:colOff>619125</xdr:colOff>
          <xdr:row>2</xdr:row>
          <xdr:rowOff>57150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6.4839931713" createdVersion="4" refreshedVersion="8" minRefreshableVersion="3" recordCount="376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376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25" maxValue="10919"/>
    </cacheField>
    <cacheField name="Daj" numFmtId="4">
      <sharedItems containsSemiMixedTypes="0" containsString="0" containsNumber="1" minValue="-25" maxValue="10919"/>
    </cacheField>
    <cacheField name="TUSD_E" numFmtId="4">
      <sharedItems containsSemiMixedTypes="0" containsString="0" containsNumber="1" minValue="-190.22" maxValue="2624.4560000000001"/>
    </cacheField>
    <cacheField name="TUSD_Eaj" numFmtId="4">
      <sharedItems containsSemiMixedTypes="0" containsString="0" containsNumber="1" minValue="-190.22" maxValue="2624.4560000000001"/>
    </cacheField>
    <cacheField name="TE_E" numFmtId="4">
      <sharedItems containsSemiMixedTypes="0" containsString="0" containsNumber="1" minValue="-190.22" maxValue="2624.4560000000001"/>
    </cacheField>
    <cacheField name="TE_Eaj" numFmtId="4">
      <sharedItems containsSemiMixedTypes="0" containsString="0" containsNumber="1" minValue="-190.22" maxValue="2624.4560000000001"/>
    </cacheField>
    <cacheField name="TUSD/KW" numFmtId="4">
      <sharedItems containsString="0" containsBlank="1" containsNumber="1" minValue="46.29" maxValue="134.72"/>
    </cacheField>
    <cacheField name="TUSD/MWh" numFmtId="4">
      <sharedItems containsString="0" containsBlank="1" containsNumber="1" minValue="72.13" maxValue="3312.96"/>
    </cacheField>
    <cacheField name="TE" numFmtId="4">
      <sharedItems containsString="0" containsBlank="1" containsNumber="1" minValue="65.989999999999995" maxValue="119.97"/>
    </cacheField>
    <cacheField name="ReceitaD" numFmtId="4">
      <sharedItems containsString="0" containsBlank="1" containsNumber="1" minValue="-1157.25" maxValue="505440.51"/>
    </cacheField>
    <cacheField name="ReceitaE" numFmtId="4">
      <sharedItems containsString="0" containsBlank="1" containsNumber="1" minValue="-157330.962" maxValue="638571.6531"/>
    </cacheField>
    <cacheField name="Total" numFmtId="4">
      <sharedItems containsString="0" containsBlank="1" containsNumber="1" minValue="-157330.962" maxValue="638571.6531"/>
    </cacheField>
    <cacheField name="Total com Tar de aplicação" numFmtId="4">
      <sharedItems containsString="0" containsBlank="1" containsNumber="1" minValue="-138676.08659999998" maxValue="562855.63082999992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11583.423993350387" maxValue="139039.86090792954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20456.10867877489" maxValue="195592.18210642014"/>
    </cacheField>
    <cacheField name="DISTRIBUICAO" numFmtId="4">
      <sharedItems containsString="0" containsBlank="1" containsNumber="1" minValue="-96891.020094833555" maxValue="393259.26750834449"/>
    </cacheField>
    <cacheField name="EnergiaRevenda" numFmtId="4">
      <sharedItems containsString="0" containsBlank="1" containsNumber="1" minValue="-22821.424334336687" maxValue="314866.07098515361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790.0131723826855" maxValue="24696.723847853922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409.22004845456706" maxValue="2206.4641222474716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380.6684971933428" maxValue="23367.755744904916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containsInteger="1" minValue="0" maxValue="0"/>
    </cacheField>
    <cacheField name="Cofins" numFmtId="4">
      <sharedItems containsSemiMixedTypes="0" containsString="0" containsNumber="1" containsInteger="1" minValue="0" maxValue="0"/>
    </cacheField>
    <cacheField name="ICMS" numFmtId="4">
      <sharedItems containsSemiMixedTypes="0" containsString="0" containsNumber="1" minValue="-55109.64" maxValue="545691.17000000004"/>
    </cacheField>
    <cacheField name="UC" numFmtId="4">
      <sharedItems containsSemiMixedTypes="0" containsString="0" containsNumber="1" containsInteger="1" minValue="0" maxValue="3127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192.42017819999987" maxValue="1035.3647826000024"/>
    </cacheField>
    <cacheField name="Subs_Rural" numFmtId="4">
      <sharedItems containsString="0" containsBlank="1" containsNumber="1" minValue="-1738.7524799999985" maxValue="28444.559399999969"/>
    </cacheField>
    <cacheField name="Subs_Irrigante" numFmtId="4">
      <sharedItems containsNonDate="0" containsString="0" containsBlank="1"/>
    </cacheField>
    <cacheField name="Subs_BaixaRenda" numFmtId="4">
      <sharedItems containsString="0" containsBlank="1" containsNumber="1" minValue="3.3935399999999971" maxValue="3028.9373799999998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6202.09283153003" maxValue="338233.82673005853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38676.08659999998" maxValue="562854.90179999988"/>
    </cacheField>
    <cacheField name="FinAj" numFmtId="4">
      <sharedItems containsSemiMixedTypes="0" containsString="0" containsNumber="1" minValue="-75716.781300000148" maxValue="18654.845399999991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75716.022270000045" maxValue="18654.875400000008"/>
    </cacheField>
    <cacheField name="FinPostTE" numFmtId="4">
      <sharedItems containsSemiMixedTypes="0" containsString="0" containsNumber="1" containsInteger="1" minValue="0" maxValue="0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15993.929994640639" maxValue="1437.7443498799184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1046.4533578914416" maxValue="109.44386112849679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containsInteger="1" minValue="0" maxValue="0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containsInteger="1" minValue="0" maxValue="0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3706.864437396231" maxValue="1141.920175703247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2104.6129329558316" maxValue="152.54188757855309"/>
    </cacheField>
    <cacheField name="finCT_TFSEE" numFmtId="4">
      <sharedItems containsString="0" containsBlank="1" containsNumber="1" minValue="-182.45262428863725" maxValue="33.838425469619438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-709.33570773451004" maxValue="309809.4637101246"/>
    </cacheField>
    <cacheField name="DIST_E" numFmtId="4">
      <sharedItems containsString="0" containsBlank="1" containsNumber="1" minValue="-96891.020094833555" maxValue="393259.26750834449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75716.022270000074" maxValue="18654.875400000019"/>
    </cacheField>
    <cacheField name="Fin_TE" numFmtId="4">
      <sharedItems containsString="0" containsBlank="1" containsNumber="1" containsInteger="1" minValue="0" maxValue="0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69879.799637077027" maxValue="17216.949809619691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29" maxValue="229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6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480.62900000000002"/>
    <n v="480.62900000000002"/>
    <n v="480.62900000000002"/>
    <n v="480.62900000000002"/>
    <m/>
    <n v="707.13"/>
    <n v="119.97"/>
    <m/>
    <n v="397528.24589999998"/>
    <n v="397528.24589999998"/>
    <n v="350392.95986999996"/>
    <n v="0"/>
    <n v="29267.845076753249"/>
    <n v="0"/>
    <n v="0"/>
    <n v="0"/>
    <n v="51686.463348601079"/>
    <n v="244814.60465334749"/>
    <n v="57662.907982272671"/>
    <n v="0"/>
    <n v="0"/>
    <n v="0"/>
    <n v="0"/>
    <n v="0"/>
    <n v="4522.8274683477957"/>
    <m/>
    <n v="1033.9765674937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41.937331182522"/>
    <n v="0"/>
    <n v="0"/>
    <n v="0"/>
    <n v="75718.820000000007"/>
    <n v="3107"/>
    <m/>
    <m/>
    <m/>
    <m/>
    <m/>
    <m/>
    <m/>
    <m/>
    <m/>
    <n v="66204.845313455196"/>
    <m/>
    <m/>
    <m/>
    <m/>
    <m/>
    <m/>
    <m/>
    <m/>
    <m/>
    <m/>
    <m/>
    <m/>
    <n v="350393.68889999995"/>
    <n v="-47134.587000000058"/>
    <m/>
    <m/>
    <m/>
    <m/>
    <n v="-47135.286030000025"/>
    <n v="0"/>
    <n v="30"/>
    <n v="-3632.7496011903859"/>
    <n v="0"/>
    <n v="0"/>
    <n v="0"/>
    <n v="0"/>
    <n v="0"/>
    <n v="0"/>
    <n v="0"/>
    <n v="-276.53187640799297"/>
    <n v="0"/>
    <n v="0"/>
    <n v="0"/>
    <n v="0"/>
    <n v="0"/>
    <n v="0"/>
    <n v="0"/>
    <n v="0"/>
    <n v="-2885.2904643469446"/>
    <m/>
    <n v="0"/>
    <n v="0"/>
    <n v="0"/>
    <n v="0"/>
    <n v="-385.4276883870898"/>
    <n v="-85.499572048353116"/>
    <n v="0"/>
    <n v="0"/>
    <m/>
    <m/>
    <m/>
    <n v="244814.60465334749"/>
    <n v="0"/>
    <n v="0"/>
    <n v="-47135.286030000017"/>
    <n v="0"/>
    <n v="0"/>
    <n v="0"/>
    <n v="-43502.078488317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1.069"/>
    <n v="-1.069"/>
    <n v="-1.069"/>
    <n v="-1.069"/>
    <m/>
    <n v="707.13"/>
    <n v="119.97"/>
    <m/>
    <n v="-884.16989999999998"/>
    <n v="-884.16989999999998"/>
    <n v="-779.33306999999991"/>
    <n v="0"/>
    <n v="-65.096626269012518"/>
    <n v="0"/>
    <n v="0"/>
    <n v="0"/>
    <n v="-114.95941634744169"/>
    <n v="-544.50899212163313"/>
    <n v="-128.2520377111025"/>
    <n v="0"/>
    <n v="0"/>
    <n v="0"/>
    <n v="0"/>
    <n v="0"/>
    <n v="-10.05953149656761"/>
    <m/>
    <n v="-2.2997383650401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.998710038374952"/>
    <n v="0"/>
    <n v="0"/>
    <n v="0"/>
    <n v="-274.89999999999998"/>
    <n v="0"/>
    <m/>
    <m/>
    <m/>
    <m/>
    <m/>
    <m/>
    <m/>
    <m/>
    <m/>
    <n v="-147.25074774947745"/>
    <m/>
    <m/>
    <m/>
    <m/>
    <m/>
    <m/>
    <m/>
    <m/>
    <m/>
    <m/>
    <m/>
    <m/>
    <n v="-780.0621000000001"/>
    <n v="104.07779999999991"/>
    <m/>
    <m/>
    <m/>
    <m/>
    <n v="104.83683000000005"/>
    <n v="0"/>
    <n v="30"/>
    <n v="8.0798481233393886"/>
    <n v="0"/>
    <n v="0"/>
    <n v="0"/>
    <n v="0"/>
    <n v="0"/>
    <n v="0"/>
    <n v="0"/>
    <n v="0.61505355665210004"/>
    <n v="0"/>
    <n v="0"/>
    <n v="0"/>
    <n v="0"/>
    <n v="0"/>
    <n v="0"/>
    <n v="0"/>
    <n v="0"/>
    <n v="6.4173728726041901"/>
    <m/>
    <n v="0"/>
    <n v="0"/>
    <n v="0"/>
    <n v="0"/>
    <n v="0.8572562181761807"/>
    <n v="0.1901654759069662"/>
    <n v="0"/>
    <n v="0"/>
    <m/>
    <m/>
    <m/>
    <n v="-544.50899212163313"/>
    <n v="0"/>
    <n v="0"/>
    <n v="104.83683000000008"/>
    <n v="0"/>
    <n v="0"/>
    <n v="0"/>
    <n v="96.75596333972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7.1079999999999997"/>
    <n v="7.1079999999999997"/>
    <n v="7.1079999999999997"/>
    <n v="7.1079999999999997"/>
    <m/>
    <n v="707.13"/>
    <n v="119.97"/>
    <m/>
    <n v="5879.0267999999996"/>
    <n v="5879.0267999999996"/>
    <n v="5181.9452399999991"/>
    <n v="0"/>
    <n v="432.84080404129185"/>
    <n v="0"/>
    <n v="0"/>
    <n v="0"/>
    <n v="764.38871038130549"/>
    <n v="3620.5518391024962"/>
    <n v="852.77407301264407"/>
    <n v="0"/>
    <n v="0"/>
    <n v="0"/>
    <n v="0"/>
    <n v="0"/>
    <n v="66.887885760152074"/>
    <m/>
    <n v="15.291431523578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.32631520371297"/>
    <n v="0"/>
    <n v="0"/>
    <n v="0"/>
    <n v="2656.78"/>
    <n v="19"/>
    <m/>
    <m/>
    <m/>
    <m/>
    <m/>
    <m/>
    <m/>
    <m/>
    <m/>
    <n v="979.10038821635703"/>
    <m/>
    <m/>
    <m/>
    <m/>
    <m/>
    <m/>
    <m/>
    <m/>
    <m/>
    <m/>
    <m/>
    <m/>
    <n v="5183.4032999999999"/>
    <n v="-695.65350000000035"/>
    <m/>
    <m/>
    <m/>
    <m/>
    <n v="-697.08156000000031"/>
    <n v="0"/>
    <n v="30"/>
    <n v="-53.724565444993004"/>
    <n v="0"/>
    <n v="0"/>
    <n v="0"/>
    <n v="0"/>
    <n v="0"/>
    <n v="0"/>
    <n v="0"/>
    <n v="-4.0896171007326529"/>
    <n v="0"/>
    <n v="0"/>
    <n v="0"/>
    <n v="0"/>
    <n v="0"/>
    <n v="0"/>
    <n v="0"/>
    <n v="0"/>
    <n v="-42.670426920926673"/>
    <m/>
    <n v="0"/>
    <n v="0"/>
    <n v="0"/>
    <n v="0"/>
    <n v="-5.7000722158992474"/>
    <n v="-1.2644492074337865"/>
    <n v="0"/>
    <n v="0"/>
    <m/>
    <m/>
    <m/>
    <n v="3620.5518391024962"/>
    <n v="0"/>
    <n v="0"/>
    <n v="-697.08156000000054"/>
    <n v="0"/>
    <n v="0"/>
    <n v="0"/>
    <n v="-643.35022209429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3.93"/>
    <n v="3.93"/>
    <n v="3.93"/>
    <n v="3.93"/>
    <m/>
    <n v="636.83000000000004"/>
    <n v="119.97"/>
    <m/>
    <n v="2974.2240000000006"/>
    <n v="2974.2240000000006"/>
    <n v="2615.5329000000002"/>
    <n v="0"/>
    <n v="0"/>
    <n v="0"/>
    <n v="0"/>
    <n v="0"/>
    <n v="422.62909845224124"/>
    <n v="2001.796388248848"/>
    <n v="471.49720131396896"/>
    <n v="0"/>
    <n v="0"/>
    <n v="0"/>
    <n v="0"/>
    <n v="0"/>
    <n v="0"/>
    <m/>
    <n v="8.45460409224292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845585080274617"/>
    <n v="0"/>
    <n v="0"/>
    <n v="0"/>
    <n v="118.28"/>
    <n v="13"/>
    <m/>
    <m/>
    <m/>
    <m/>
    <m/>
    <m/>
    <m/>
    <n v="1700.0786999999998"/>
    <m/>
    <n v="541.3427863942436"/>
    <m/>
    <m/>
    <m/>
    <m/>
    <m/>
    <m/>
    <m/>
    <m/>
    <m/>
    <m/>
    <m/>
    <m/>
    <n v="915.45420000000001"/>
    <n v="-125.55419999999992"/>
    <m/>
    <m/>
    <m/>
    <m/>
    <n v="-358.6911000000004"/>
    <n v="0"/>
    <n v="30"/>
    <n v="-2.9602533189496398"/>
    <n v="0"/>
    <n v="0"/>
    <n v="0"/>
    <n v="0"/>
    <n v="0"/>
    <n v="0"/>
    <n v="0"/>
    <n v="-2.2611417003206498"/>
    <n v="0"/>
    <n v="0"/>
    <n v="0"/>
    <n v="0"/>
    <n v="0"/>
    <n v="0"/>
    <n v="0"/>
    <n v="0"/>
    <n v="0"/>
    <m/>
    <n v="0"/>
    <n v="0"/>
    <n v="0"/>
    <n v="0"/>
    <n v="0"/>
    <n v="-0.69911161862897941"/>
    <n v="0"/>
    <n v="0"/>
    <m/>
    <m/>
    <m/>
    <n v="2001.796388248848"/>
    <n v="0"/>
    <n v="0"/>
    <n v="-358.69110000000046"/>
    <n v="0"/>
    <n v="0"/>
    <n v="0"/>
    <n v="-355.70714305438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7.4210000000000003"/>
    <n v="7.4210000000000003"/>
    <n v="7.4210000000000003"/>
    <n v="7.4210000000000003"/>
    <m/>
    <n v="636.83000000000004"/>
    <n v="119.97"/>
    <m/>
    <n v="5616.2128000000012"/>
    <n v="5616.2128000000012"/>
    <n v="4938.8981299999996"/>
    <n v="0"/>
    <n v="0"/>
    <n v="0"/>
    <n v="0"/>
    <n v="0"/>
    <n v="798.04848336236194"/>
    <n v="3779.9824420342752"/>
    <n v="890.32588573815872"/>
    <n v="0"/>
    <n v="0"/>
    <n v="0"/>
    <n v="0"/>
    <n v="0"/>
    <n v="0"/>
    <m/>
    <n v="15.9647880327060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88908063122594"/>
    <n v="0"/>
    <n v="0"/>
    <n v="0"/>
    <n v="389.82"/>
    <n v="28"/>
    <m/>
    <m/>
    <m/>
    <m/>
    <m/>
    <m/>
    <m/>
    <n v="1975.54441"/>
    <m/>
    <n v="1022.2149663693847"/>
    <m/>
    <m/>
    <m/>
    <m/>
    <m/>
    <m/>
    <m/>
    <m/>
    <m/>
    <m/>
    <m/>
    <m/>
    <n v="2962.9543999999996"/>
    <n v="-406.803280000001"/>
    <m/>
    <m/>
    <m/>
    <m/>
    <n v="-677.31467000000077"/>
    <n v="0"/>
    <n v="30"/>
    <n v="-5.5898320305157085"/>
    <n v="0"/>
    <n v="0"/>
    <n v="0"/>
    <n v="0"/>
    <n v="0"/>
    <n v="0"/>
    <n v="0"/>
    <n v="-4.2697029409872584"/>
    <n v="0"/>
    <n v="0"/>
    <n v="0"/>
    <n v="0"/>
    <n v="0"/>
    <n v="0"/>
    <n v="0"/>
    <n v="0"/>
    <n v="0"/>
    <m/>
    <n v="0"/>
    <n v="0"/>
    <n v="0"/>
    <n v="0"/>
    <n v="0"/>
    <n v="-1.3201290895281552"/>
    <n v="0"/>
    <n v="0"/>
    <m/>
    <m/>
    <m/>
    <n v="3779.9824420342752"/>
    <n v="0"/>
    <n v="0"/>
    <n v="-677.31467000000112"/>
    <n v="0"/>
    <n v="0"/>
    <n v="0"/>
    <n v="-671.68007852585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6.57"/>
    <n v="6.57"/>
    <n v="6.57"/>
    <n v="6.57"/>
    <m/>
    <n v="636.83000000000004"/>
    <n v="119.97"/>
    <m/>
    <n v="4972.1760000000004"/>
    <n v="4972.1760000000004"/>
    <n v="4372.5320999999994"/>
    <n v="0"/>
    <n v="0"/>
    <n v="0"/>
    <n v="0"/>
    <n v="0"/>
    <n v="706.53261496977734"/>
    <n v="3346.5145727213567"/>
    <n v="788.22814570808555"/>
    <n v="0"/>
    <n v="0"/>
    <n v="0"/>
    <n v="0"/>
    <n v="0"/>
    <n v="0"/>
    <m/>
    <n v="14.134032795429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76475673725298"/>
    <n v="0"/>
    <n v="0"/>
    <n v="0"/>
    <n v="922.98"/>
    <n v="64"/>
    <m/>
    <m/>
    <m/>
    <m/>
    <m/>
    <m/>
    <m/>
    <n v="437.16779999999972"/>
    <m/>
    <n v="904.99290244533859"/>
    <m/>
    <m/>
    <m/>
    <m/>
    <m/>
    <m/>
    <m/>
    <m/>
    <m/>
    <m/>
    <m/>
    <m/>
    <n v="3935.3643000000002"/>
    <n v="-539.62410000000091"/>
    <m/>
    <m/>
    <m/>
    <m/>
    <n v="-599.6439000000006"/>
    <n v="0"/>
    <n v="30"/>
    <n v="-4.9488204339693311"/>
    <n v="0"/>
    <n v="0"/>
    <n v="0"/>
    <n v="0"/>
    <n v="0"/>
    <n v="0"/>
    <n v="0"/>
    <n v="-3.7800765829788361"/>
    <n v="0"/>
    <n v="0"/>
    <n v="0"/>
    <n v="0"/>
    <n v="0"/>
    <n v="0"/>
    <n v="0"/>
    <n v="0"/>
    <n v="0"/>
    <m/>
    <n v="0"/>
    <n v="0"/>
    <n v="0"/>
    <n v="0"/>
    <n v="0"/>
    <n v="-1.1687438509904293"/>
    <n v="0"/>
    <n v="0"/>
    <m/>
    <m/>
    <m/>
    <n v="3346.5145727213567"/>
    <n v="0"/>
    <n v="0"/>
    <n v="-599.64390000000049"/>
    <n v="0"/>
    <n v="0"/>
    <n v="0"/>
    <n v="-594.65545289244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.62"/>
    <n v="1.62"/>
    <n v="1.62"/>
    <n v="1.62"/>
    <m/>
    <n v="636.83000000000004"/>
    <n v="119.97"/>
    <m/>
    <n v="1226.0160000000001"/>
    <n v="1226.0160000000001"/>
    <n v="1078.1586"/>
    <n v="0"/>
    <n v="0"/>
    <n v="0"/>
    <n v="0"/>
    <n v="0"/>
    <n v="174.21352149939716"/>
    <n v="825.16797683540301"/>
    <n v="194.35762496911698"/>
    <n v="0"/>
    <n v="0"/>
    <n v="0"/>
    <n v="0"/>
    <n v="0"/>
    <n v="0"/>
    <m/>
    <n v="3.4851039769550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791309880418545"/>
    <n v="0"/>
    <n v="0"/>
    <n v="0"/>
    <n v="462.1"/>
    <n v="26"/>
    <m/>
    <m/>
    <m/>
    <m/>
    <m/>
    <m/>
    <m/>
    <m/>
    <m/>
    <n v="223.14893484953552"/>
    <m/>
    <m/>
    <m/>
    <m/>
    <m/>
    <m/>
    <m/>
    <m/>
    <m/>
    <m/>
    <m/>
    <m/>
    <n v="1078.1586"/>
    <n v="-147.88740000000007"/>
    <m/>
    <m/>
    <m/>
    <m/>
    <n v="-147.85740000000015"/>
    <n v="0"/>
    <n v="30"/>
    <n v="-1.2202570933075094"/>
    <n v="0"/>
    <n v="0"/>
    <n v="0"/>
    <n v="0"/>
    <n v="0"/>
    <n v="0"/>
    <n v="0"/>
    <n v="-0.93207367799476515"/>
    <n v="0"/>
    <n v="0"/>
    <n v="0"/>
    <n v="0"/>
    <n v="0"/>
    <n v="0"/>
    <n v="0"/>
    <n v="0"/>
    <n v="0"/>
    <m/>
    <n v="0"/>
    <n v="0"/>
    <n v="0"/>
    <n v="0"/>
    <n v="0"/>
    <n v="-0.28818341531270875"/>
    <n v="0"/>
    <n v="0"/>
    <m/>
    <m/>
    <m/>
    <n v="825.16797683540301"/>
    <n v="0"/>
    <n v="0"/>
    <n v="-147.8574000000001"/>
    <n v="0"/>
    <n v="0"/>
    <n v="0"/>
    <n v="-146.62737194608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8"/>
    <s v="Regular"/>
    <s v="Convencional"/>
    <s v="B3"/>
    <s v="Industrial"/>
    <s v="Não se aplica"/>
    <s v="Não se aplica"/>
    <s v="Não se aplica"/>
    <s v="Não se aplica"/>
    <s v="CATIVO"/>
    <x v="0"/>
    <n v="0"/>
    <n v="0"/>
    <n v="127.378"/>
    <n v="127.378"/>
    <n v="127.378"/>
    <n v="127.378"/>
    <m/>
    <n v="707.13"/>
    <n v="119.97"/>
    <m/>
    <n v="105354.3438"/>
    <n v="105354.3438"/>
    <n v="92862.38334"/>
    <n v="0"/>
    <n v="7756.6679709020373"/>
    <n v="0"/>
    <n v="0"/>
    <n v="0"/>
    <n v="13698.129593549513"/>
    <n v="64881.633674901212"/>
    <n v="15282.028119330977"/>
    <n v="0"/>
    <n v="0"/>
    <n v="0"/>
    <n v="0"/>
    <n v="0"/>
    <n v="1198.6557558183247"/>
    <m/>
    <n v="274.02813233122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63.8144876221932"/>
    <n v="0"/>
    <n v="0"/>
    <n v="0"/>
    <n v="35002.97"/>
    <n v="70"/>
    <m/>
    <m/>
    <m/>
    <m/>
    <m/>
    <m/>
    <m/>
    <m/>
    <m/>
    <n v="17545.842606953171"/>
    <m/>
    <m/>
    <m/>
    <m/>
    <m/>
    <m/>
    <m/>
    <m/>
    <m/>
    <m/>
    <m/>
    <m/>
    <n v="92863.84139999999"/>
    <n v="-12490.532399999996"/>
    <m/>
    <m/>
    <m/>
    <m/>
    <n v="-12491.960460000006"/>
    <n v="0"/>
    <n v="30"/>
    <n v="-962.76416674904613"/>
    <n v="0"/>
    <n v="0"/>
    <n v="0"/>
    <n v="0"/>
    <n v="0"/>
    <n v="0"/>
    <n v="0"/>
    <n v="-73.287457380012711"/>
    <n v="0"/>
    <n v="0"/>
    <n v="0"/>
    <n v="0"/>
    <n v="0"/>
    <n v="0"/>
    <n v="0"/>
    <n v="0"/>
    <n v="-764.66989875264517"/>
    <m/>
    <n v="0"/>
    <n v="0"/>
    <n v="0"/>
    <n v="0"/>
    <n v="-102.14741118694633"/>
    <n v="-22.659399429445813"/>
    <n v="0"/>
    <n v="0"/>
    <m/>
    <m/>
    <m/>
    <n v="64881.633674901212"/>
    <n v="0"/>
    <n v="0"/>
    <n v="-12491.960460000002"/>
    <n v="0"/>
    <n v="0"/>
    <n v="0"/>
    <n v="-11529.074928239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9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9.3699999999999992"/>
    <n v="9.3699999999999992"/>
    <n v="9.3699999999999992"/>
    <n v="9.3699999999999992"/>
    <m/>
    <n v="707.13"/>
    <n v="119.97"/>
    <m/>
    <n v="7749.9269999999997"/>
    <n v="7749.9269999999997"/>
    <n v="6831.0110999999997"/>
    <n v="0"/>
    <n v="570.58502164700406"/>
    <n v="0"/>
    <n v="0"/>
    <n v="0"/>
    <n v="1007.6424052156489"/>
    <n v="4772.7308289800776"/>
    <n v="1124.1549049139667"/>
    <n v="0"/>
    <n v="0"/>
    <n v="0"/>
    <n v="0"/>
    <n v="0"/>
    <n v="88.173816765985492"/>
    <m/>
    <n v="20.157669298808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.52751455526032"/>
    <n v="0"/>
    <n v="0"/>
    <n v="0"/>
    <n v="2641.03"/>
    <n v="4"/>
    <m/>
    <m/>
    <m/>
    <m/>
    <m/>
    <m/>
    <m/>
    <m/>
    <m/>
    <n v="1290.6824194692269"/>
    <m/>
    <m/>
    <m/>
    <m/>
    <m/>
    <m/>
    <m/>
    <m/>
    <m/>
    <m/>
    <m/>
    <m/>
    <n v="6831.0110999999997"/>
    <n v="-918.94590000000062"/>
    <m/>
    <m/>
    <m/>
    <m/>
    <n v="-918.91590000000042"/>
    <n v="0"/>
    <n v="30"/>
    <n v="-70.821493840683615"/>
    <n v="0"/>
    <n v="0"/>
    <n v="0"/>
    <n v="0"/>
    <n v="0"/>
    <n v="0"/>
    <n v="0"/>
    <n v="-5.3910681251920778"/>
    <n v="0"/>
    <n v="0"/>
    <n v="0"/>
    <n v="0"/>
    <n v="0"/>
    <n v="0"/>
    <n v="0"/>
    <n v="0"/>
    <n v="-56.249563906736512"/>
    <m/>
    <n v="0"/>
    <n v="0"/>
    <n v="0"/>
    <n v="0"/>
    <n v="-7.5140231658660497"/>
    <n v="-1.666838642888937"/>
    <n v="0"/>
    <n v="0"/>
    <m/>
    <m/>
    <m/>
    <n v="4772.7308289800776"/>
    <n v="0"/>
    <n v="0"/>
    <n v="-918.91589999999997"/>
    <n v="0"/>
    <n v="0"/>
    <n v="0"/>
    <n v="-848.08547847827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0"/>
    <s v="Regular"/>
    <s v="Verde"/>
    <s v="A4"/>
    <s v="Industrial"/>
    <s v="Não se aplica"/>
    <s v="Não se aplica"/>
    <s v="Não se aplica"/>
    <s v="Ponta"/>
    <s v="CATIVO"/>
    <x v="0"/>
    <n v="0"/>
    <n v="0"/>
    <n v="102.54600000000001"/>
    <n v="102.54600000000001"/>
    <n v="102.54600000000001"/>
    <n v="102.54600000000001"/>
    <m/>
    <n v="3312.96"/>
    <n v="119.97"/>
    <m/>
    <n v="352033.23978"/>
    <n v="352033.23978"/>
    <n v="305567.59626000002"/>
    <n v="0"/>
    <n v="5432.737899459752"/>
    <n v="0"/>
    <n v="0"/>
    <n v="0"/>
    <n v="76667.389354485989"/>
    <n v="255666.74489022602"/>
    <n v="12302.837660545105"/>
    <n v="0"/>
    <n v="0"/>
    <n v="0"/>
    <n v="0"/>
    <n v="0"/>
    <n v="964.98102604959979"/>
    <m/>
    <n v="86.213702908331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3.05393598407431"/>
    <n v="0"/>
    <n v="0"/>
    <n v="0"/>
    <n v="0"/>
    <n v="0"/>
    <m/>
    <m/>
    <m/>
    <m/>
    <m/>
    <m/>
    <m/>
    <m/>
    <m/>
    <n v="13215.89159652918"/>
    <m/>
    <m/>
    <m/>
    <m/>
    <m/>
    <m/>
    <m/>
    <m/>
    <m/>
    <m/>
    <m/>
    <m/>
    <n v="305579.51549999998"/>
    <n v="-46453.754280000052"/>
    <m/>
    <m/>
    <m/>
    <m/>
    <n v="-46465.643519999991"/>
    <n v="0"/>
    <n v="30"/>
    <n v="-1035.1189945310471"/>
    <n v="0"/>
    <n v="0"/>
    <n v="0"/>
    <n v="0"/>
    <n v="0"/>
    <n v="0"/>
    <n v="0"/>
    <n v="-410.18432417251461"/>
    <n v="0"/>
    <n v="0"/>
    <n v="0"/>
    <n v="0"/>
    <n v="0"/>
    <n v="0"/>
    <n v="0"/>
    <n v="0"/>
    <n v="-535.57160821032448"/>
    <m/>
    <n v="0"/>
    <n v="0"/>
    <n v="0"/>
    <n v="0"/>
    <n v="-82.234046912155918"/>
    <n v="-7.129015236034661"/>
    <n v="0"/>
    <n v="0"/>
    <m/>
    <m/>
    <m/>
    <n v="255666.74489022602"/>
    <n v="0"/>
    <n v="0"/>
    <n v="-46465.643519999983"/>
    <n v="0"/>
    <n v="0"/>
    <n v="0"/>
    <n v="-45430.438346665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1"/>
    <s v="Regular"/>
    <s v="Verde"/>
    <s v="A4"/>
    <s v="Industrial"/>
    <s v="Não se aplica"/>
    <s v="Não se aplica"/>
    <s v="Não se aplica"/>
    <s v="Fora ponta"/>
    <s v="CATIVO"/>
    <x v="0"/>
    <n v="0"/>
    <n v="0"/>
    <n v="2450.712"/>
    <n v="2450.712"/>
    <n v="2450.712"/>
    <n v="2450.712"/>
    <m/>
    <n v="72.13"/>
    <n v="119.97"/>
    <m/>
    <n v="470781.77519999997"/>
    <n v="470781.77519999997"/>
    <n v="455856.93912"/>
    <n v="0"/>
    <n v="129835.15654497306"/>
    <n v="0"/>
    <n v="0"/>
    <n v="0"/>
    <n v="0"/>
    <n v="0"/>
    <n v="294021.33568105841"/>
    <n v="0"/>
    <n v="0"/>
    <n v="0"/>
    <n v="0"/>
    <n v="0"/>
    <n v="23061.753557545555"/>
    <m/>
    <n v="2060.3919829333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20.765681385939"/>
    <n v="0"/>
    <n v="0"/>
    <n v="0"/>
    <n v="0"/>
    <n v="0"/>
    <m/>
    <m/>
    <m/>
    <m/>
    <m/>
    <m/>
    <m/>
    <m/>
    <m/>
    <n v="315842.10136244434"/>
    <m/>
    <m/>
    <m/>
    <m/>
    <m/>
    <m/>
    <m/>
    <m/>
    <m/>
    <m/>
    <m/>
    <m/>
    <n v="455856.56709999999"/>
    <n v="-14925.238100000017"/>
    <m/>
    <m/>
    <m/>
    <m/>
    <n v="-14924.836079999974"/>
    <n v="0"/>
    <n v="30"/>
    <n v="-14935.101280046569"/>
    <n v="0"/>
    <n v="0"/>
    <n v="0"/>
    <n v="0"/>
    <n v="0"/>
    <n v="0"/>
    <n v="0"/>
    <n v="0"/>
    <n v="0"/>
    <n v="0"/>
    <n v="0"/>
    <n v="0"/>
    <n v="0"/>
    <n v="0"/>
    <n v="0"/>
    <n v="0"/>
    <n v="-12799.443831064491"/>
    <m/>
    <n v="0"/>
    <n v="0"/>
    <n v="0"/>
    <n v="0"/>
    <n v="-1965.2835369120512"/>
    <n v="-170.37391207002679"/>
    <n v="0"/>
    <n v="0"/>
    <m/>
    <m/>
    <m/>
    <n v="0"/>
    <n v="0"/>
    <n v="0"/>
    <n v="-14924.836079999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Não se aplica"/>
    <s v="CATIVO"/>
    <x v="0"/>
    <n v="10772"/>
    <n v="10772"/>
    <n v="0"/>
    <n v="0"/>
    <n v="0"/>
    <n v="0"/>
    <n v="46.29"/>
    <m/>
    <m/>
    <n v="498635.88"/>
    <m/>
    <n v="498635.88"/>
    <n v="443267.8"/>
    <n v="0"/>
    <n v="0"/>
    <n v="0"/>
    <n v="0"/>
    <n v="0"/>
    <n v="192958.96928751329"/>
    <n v="305638.569748645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1783.09"/>
    <n v="26"/>
    <m/>
    <m/>
    <m/>
    <m/>
    <m/>
    <m/>
    <m/>
    <m/>
    <m/>
    <n v="0"/>
    <m/>
    <m/>
    <m/>
    <m/>
    <m/>
    <m/>
    <m/>
    <m/>
    <m/>
    <m/>
    <m/>
    <m/>
    <n v="443267.8"/>
    <n v="-55368.110000000044"/>
    <m/>
    <m/>
    <m/>
    <m/>
    <n v="-55368.080000000009"/>
    <n v="0"/>
    <n v="30"/>
    <n v="-1032.3651956412068"/>
    <n v="0"/>
    <n v="0"/>
    <n v="0"/>
    <n v="0"/>
    <m/>
    <m/>
    <m/>
    <n v="-1032.36519564120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5638.56974864571"/>
    <m/>
    <n v="0"/>
    <n v="0"/>
    <n v="-55368.080000000016"/>
    <m/>
    <n v="0"/>
    <m/>
    <n v="-54310.130186429888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13"/>
    <s v="Regular"/>
    <s v="Branca"/>
    <s v="B3"/>
    <s v="Industrial"/>
    <s v="Não se aplica"/>
    <s v="Não se aplica"/>
    <s v="Não se aplica"/>
    <s v="Ponta"/>
    <s v="CATIVO"/>
    <x v="0"/>
    <n v="0"/>
    <n v="0"/>
    <n v="0.13400000000000001"/>
    <n v="0.13400000000000001"/>
    <n v="0.13400000000000001"/>
    <n v="0.13400000000000001"/>
    <m/>
    <n v="2187.66"/>
    <n v="119.97"/>
    <m/>
    <n v="309.22242"/>
    <n v="309.22242"/>
    <n v="266.78730000000002"/>
    <n v="0"/>
    <n v="8.1599138634683612"/>
    <n v="0"/>
    <n v="0"/>
    <n v="0"/>
    <n v="48.989949061930886"/>
    <n v="232.06573402623377"/>
    <n v="16.076494904852886"/>
    <n v="0"/>
    <n v="0"/>
    <n v="0"/>
    <n v="0"/>
    <n v="0"/>
    <n v="1.2609702717867726"/>
    <m/>
    <n v="0.288274032661717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815034098617809"/>
    <n v="0"/>
    <n v="0"/>
    <n v="0"/>
    <n v="0"/>
    <n v="0"/>
    <m/>
    <m/>
    <m/>
    <m/>
    <m/>
    <m/>
    <m/>
    <m/>
    <m/>
    <n v="18.457998314714668"/>
    <m/>
    <m/>
    <m/>
    <m/>
    <m/>
    <m/>
    <m/>
    <m/>
    <m/>
    <m/>
    <m/>
    <m/>
    <n v="258.82350000000002"/>
    <n v="-50.428919999999948"/>
    <m/>
    <m/>
    <m/>
    <m/>
    <n v="-42.435119999999984"/>
    <n v="0"/>
    <n v="30"/>
    <n v="-1.1978229743771323"/>
    <n v="0"/>
    <n v="0"/>
    <n v="0"/>
    <n v="0"/>
    <n v="0"/>
    <n v="0"/>
    <n v="0"/>
    <n v="-0.26210503991865863"/>
    <n v="0"/>
    <n v="0"/>
    <n v="0"/>
    <n v="0"/>
    <n v="0"/>
    <n v="0"/>
    <n v="0"/>
    <n v="0"/>
    <n v="-0.80442279226282665"/>
    <m/>
    <n v="0"/>
    <n v="0"/>
    <n v="0"/>
    <n v="0"/>
    <n v="-0.10745774858335677"/>
    <n v="-2.3837393612285818E-2"/>
    <n v="0"/>
    <n v="0"/>
    <m/>
    <m/>
    <m/>
    <n v="232.06573402623377"/>
    <n v="0"/>
    <n v="0"/>
    <n v="-42.435119999999955"/>
    <n v="0"/>
    <n v="0"/>
    <n v="0"/>
    <n v="-41.236681080987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4"/>
    <s v="Regular"/>
    <s v="Branca"/>
    <s v="B3"/>
    <s v="Industrial"/>
    <s v="Não se aplica"/>
    <s v="Não se aplica"/>
    <s v="Não se aplica"/>
    <s v="Fora ponta"/>
    <s v="CATIVO"/>
    <x v="0"/>
    <n v="0"/>
    <n v="0"/>
    <n v="28.125"/>
    <n v="28.125"/>
    <n v="28.125"/>
    <n v="28.125"/>
    <m/>
    <n v="509.72"/>
    <n v="119.97"/>
    <m/>
    <n v="17710.03125"/>
    <n v="17710.03125"/>
    <n v="15771.375"/>
    <n v="0"/>
    <n v="1712.6684881346841"/>
    <n v="0"/>
    <n v="0"/>
    <n v="0"/>
    <n v="2056.4810706967228"/>
    <n v="9741.5733196085075"/>
    <n v="3374.264322380503"/>
    <n v="0"/>
    <n v="0"/>
    <n v="0"/>
    <n v="0"/>
    <n v="0"/>
    <n v="264.66260368658936"/>
    <m/>
    <n v="60.5052773776926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9.84912986837747"/>
    <n v="0"/>
    <n v="0"/>
    <n v="0"/>
    <n v="0"/>
    <n v="0"/>
    <m/>
    <m/>
    <m/>
    <m/>
    <m/>
    <m/>
    <m/>
    <m/>
    <m/>
    <n v="3874.1134522488805"/>
    <m/>
    <m/>
    <m/>
    <m/>
    <m/>
    <m/>
    <m/>
    <m/>
    <m/>
    <m/>
    <m/>
    <m/>
    <n v="15774.178800000002"/>
    <n v="-1935.8824499999973"/>
    <m/>
    <m/>
    <m/>
    <m/>
    <n v="-1938.6562500000002"/>
    <n v="0"/>
    <n v="30"/>
    <n v="-207.39856534467617"/>
    <n v="0"/>
    <n v="0"/>
    <n v="0"/>
    <n v="0"/>
    <n v="0"/>
    <n v="0"/>
    <n v="0"/>
    <n v="-11.002543653299199"/>
    <n v="0"/>
    <n v="0"/>
    <n v="0"/>
    <n v="0"/>
    <n v="0"/>
    <n v="0"/>
    <n v="0"/>
    <n v="0"/>
    <n v="-168.83873904770167"/>
    <m/>
    <n v="0"/>
    <n v="0"/>
    <n v="0"/>
    <n v="0"/>
    <n v="-22.554098350051532"/>
    <n v="-5.0031842936234128"/>
    <n v="0"/>
    <n v="0"/>
    <m/>
    <m/>
    <m/>
    <n v="9741.5733196085075"/>
    <n v="0"/>
    <n v="0"/>
    <n v="-1938.65625"/>
    <n v="0"/>
    <n v="0"/>
    <n v="0"/>
    <n v="-1731.01881625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5"/>
    <s v="Regular"/>
    <s v="Branca"/>
    <s v="B3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238.19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16"/>
    <s v="Regular"/>
    <s v="Branca"/>
    <s v="B3"/>
    <s v="Industrial"/>
    <s v="Não se aplica"/>
    <s v="Não se aplica"/>
    <s v="Não se aplica"/>
    <s v="Intermediário"/>
    <s v="CATIVO"/>
    <x v="0"/>
    <n v="0"/>
    <n v="0"/>
    <n v="0.14399999999999999"/>
    <n v="0.14399999999999999"/>
    <n v="0.14399999999999999"/>
    <n v="0.14399999999999999"/>
    <m/>
    <n v="1348.63"/>
    <n v="119.97"/>
    <m/>
    <n v="211.47839999999999"/>
    <n v="211.47839999999999"/>
    <n v="183.71519999999998"/>
    <n v="0"/>
    <n v="8.7688626592495815"/>
    <n v="0"/>
    <n v="0"/>
    <n v="0"/>
    <n v="31.57874558111736"/>
    <n v="149.63042979213549"/>
    <n v="17.276233330588173"/>
    <n v="0"/>
    <n v="0"/>
    <n v="0"/>
    <n v="0"/>
    <n v="0"/>
    <n v="1.3550725308753375"/>
    <m/>
    <n v="0.3097870201737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592275449260926"/>
    <n v="0"/>
    <n v="0"/>
    <n v="0"/>
    <n v="0"/>
    <n v="0"/>
    <m/>
    <m/>
    <m/>
    <m/>
    <m/>
    <m/>
    <m/>
    <m/>
    <m/>
    <n v="19.835460875514265"/>
    <m/>
    <m/>
    <m/>
    <m/>
    <m/>
    <m/>
    <m/>
    <m/>
    <m/>
    <m/>
    <m/>
    <m/>
    <n v="178.61200000000002"/>
    <n v="-32.896399999999943"/>
    <m/>
    <m/>
    <m/>
    <m/>
    <n v="-27.763200000000023"/>
    <n v="0"/>
    <n v="30"/>
    <n v="-1.17449960038428"/>
    <n v="0"/>
    <n v="0"/>
    <n v="0"/>
    <n v="0"/>
    <n v="0"/>
    <n v="0"/>
    <n v="0"/>
    <n v="-0.16895196932443213"/>
    <n v="0"/>
    <n v="0"/>
    <n v="0"/>
    <n v="0"/>
    <n v="0"/>
    <n v="0"/>
    <n v="0"/>
    <n v="0"/>
    <n v="-0.86445434392423159"/>
    <m/>
    <n v="0"/>
    <n v="0"/>
    <n v="0"/>
    <n v="0"/>
    <n v="-0.11547698355226399"/>
    <n v="-2.5616303583351874E-2"/>
    <n v="0"/>
    <n v="0"/>
    <m/>
    <m/>
    <m/>
    <n v="149.63042979213549"/>
    <n v="0"/>
    <n v="0"/>
    <n v="-27.763200000000012"/>
    <n v="0"/>
    <n v="0"/>
    <n v="0"/>
    <n v="-26.58842478076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7"/>
    <s v="Regular"/>
    <s v="Convencional"/>
    <s v="B3"/>
    <s v="Comercial"/>
    <s v="Não se aplica"/>
    <s v="Não se aplica"/>
    <s v="Não se aplica"/>
    <s v="Não se aplica"/>
    <s v="CATIVO"/>
    <x v="0"/>
    <n v="0"/>
    <n v="0"/>
    <n v="86.62"/>
    <n v="86.62"/>
    <n v="86.62"/>
    <n v="86.62"/>
    <m/>
    <n v="707.13"/>
    <n v="119.97"/>
    <m/>
    <n v="71643.402000000002"/>
    <n v="71643.402000000002"/>
    <n v="63148.578599999993"/>
    <n v="0"/>
    <n v="5274.7144690569367"/>
    <n v="0"/>
    <n v="0"/>
    <n v="0"/>
    <n v="9315.0464396776424"/>
    <n v="44121.018613260872"/>
    <n v="10392.134243719081"/>
    <n v="0"/>
    <n v="0"/>
    <n v="0"/>
    <n v="0"/>
    <n v="0"/>
    <n v="815.11376822515103"/>
    <m/>
    <n v="186.345497829537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9.4464579270705"/>
    <n v="0"/>
    <n v="0"/>
    <n v="0"/>
    <n v="22607.45"/>
    <n v="277"/>
    <m/>
    <m/>
    <m/>
    <m/>
    <m/>
    <m/>
    <m/>
    <m/>
    <m/>
    <n v="11931.580701646151"/>
    <m/>
    <m/>
    <m/>
    <m/>
    <m/>
    <m/>
    <m/>
    <m/>
    <m/>
    <m/>
    <m/>
    <m/>
    <n v="63148.578599999993"/>
    <n v="-8494.8534000000072"/>
    <m/>
    <m/>
    <m/>
    <m/>
    <n v="-8494.8234000000048"/>
    <n v="0"/>
    <n v="30"/>
    <n v="-654.70200602775003"/>
    <n v="0"/>
    <n v="0"/>
    <n v="0"/>
    <n v="0"/>
    <n v="0"/>
    <n v="0"/>
    <n v="0"/>
    <n v="-49.837174066609805"/>
    <n v="0"/>
    <n v="0"/>
    <n v="0"/>
    <n v="0"/>
    <n v="0"/>
    <n v="0"/>
    <n v="0"/>
    <n v="0"/>
    <n v="-519.99330049108994"/>
    <m/>
    <n v="0"/>
    <n v="0"/>
    <n v="0"/>
    <n v="0"/>
    <n v="-69.46261330067432"/>
    <n v="-15.408918169374573"/>
    <n v="0"/>
    <n v="0"/>
    <m/>
    <m/>
    <m/>
    <n v="44121.018613260872"/>
    <n v="0"/>
    <n v="0"/>
    <n v="-8494.8234000000084"/>
    <n v="0"/>
    <n v="0"/>
    <n v="0"/>
    <n v="-7840.0388629442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8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0.5"/>
    <n v="0.5"/>
    <n v="0.5"/>
    <n v="0.5"/>
    <m/>
    <n v="707.13"/>
    <n v="119.97"/>
    <m/>
    <n v="413.55"/>
    <n v="413.55"/>
    <n v="364.51499999999999"/>
    <n v="0"/>
    <n v="30.44743978906105"/>
    <n v="0"/>
    <n v="0"/>
    <n v="0"/>
    <n v="53.769605401048501"/>
    <n v="254.6814743319145"/>
    <n v="59.986921286764499"/>
    <n v="0"/>
    <n v="0"/>
    <n v="0"/>
    <n v="0"/>
    <n v="0"/>
    <n v="4.7051129544282553"/>
    <m/>
    <n v="1.0756493756034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8862067532155997"/>
    <n v="0"/>
    <n v="0"/>
    <n v="0"/>
    <n v="1801.55"/>
    <n v="5"/>
    <m/>
    <m/>
    <m/>
    <m/>
    <m/>
    <m/>
    <m/>
    <m/>
    <m/>
    <n v="68.873128039980102"/>
    <m/>
    <m/>
    <m/>
    <m/>
    <m/>
    <m/>
    <m/>
    <m/>
    <m/>
    <m/>
    <m/>
    <m/>
    <n v="364.51499999999999"/>
    <n v="-49.064999999999998"/>
    <m/>
    <m/>
    <m/>
    <m/>
    <n v="-49.035000000000025"/>
    <n v="0"/>
    <n v="30"/>
    <n v="-3.7791618911783758"/>
    <n v="0"/>
    <n v="0"/>
    <n v="0"/>
    <n v="0"/>
    <n v="0"/>
    <n v="0"/>
    <n v="0"/>
    <n v="-0.28767706110949831"/>
    <n v="0"/>
    <n v="0"/>
    <n v="0"/>
    <n v="0"/>
    <n v="0"/>
    <n v="0"/>
    <n v="0"/>
    <n v="0"/>
    <n v="-3.0015775830702509"/>
    <m/>
    <n v="0"/>
    <n v="0"/>
    <n v="0"/>
    <n v="0"/>
    <n v="-0.40096174844536048"/>
    <n v="-8.8945498553305136E-2"/>
    <n v="0"/>
    <n v="0"/>
    <m/>
    <m/>
    <m/>
    <n v="254.6814743319145"/>
    <n v="0"/>
    <n v="0"/>
    <n v="-49.035000000000025"/>
    <n v="0"/>
    <n v="0"/>
    <n v="0"/>
    <n v="-45.255361711754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9"/>
    <s v="Regular"/>
    <s v="Convencional"/>
    <s v="B2"/>
    <s v="Rural"/>
    <s v="Não se aplica"/>
    <s v="Não se aplica"/>
    <s v="Não se aplica"/>
    <s v="Não se aplica"/>
    <s v="CATIVO"/>
    <x v="0"/>
    <n v="0"/>
    <n v="0"/>
    <n v="236.78899999999999"/>
    <n v="236.78899999999999"/>
    <n v="236.78899999999999"/>
    <n v="236.78899999999999"/>
    <m/>
    <n v="707.13"/>
    <n v="119.97"/>
    <m/>
    <n v="195848.1819"/>
    <n v="195848.1819"/>
    <n v="172626.28466999999"/>
    <n v="0"/>
    <n v="14419.237640423953"/>
    <n v="0"/>
    <n v="0"/>
    <n v="0"/>
    <n v="25464.102186617747"/>
    <n v="120611.5432511594"/>
    <n v="28408.486209143357"/>
    <n v="0"/>
    <n v="0"/>
    <n v="0"/>
    <n v="0"/>
    <n v="0"/>
    <n v="2228.2379827322243"/>
    <m/>
    <n v="509.40387999951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08.3120217743372"/>
    <n v="0"/>
    <n v="0"/>
    <n v="0"/>
    <n v="33386.230000000003"/>
    <n v="716"/>
    <m/>
    <m/>
    <m/>
    <m/>
    <m/>
    <n v="20714.301719999981"/>
    <m/>
    <m/>
    <m/>
    <n v="32616.798230917695"/>
    <m/>
    <m/>
    <m/>
    <m/>
    <m/>
    <m/>
    <m/>
    <m/>
    <m/>
    <m/>
    <m/>
    <m/>
    <n v="151912.62450000001"/>
    <n v="-20436.647040000011"/>
    <m/>
    <m/>
    <m/>
    <m/>
    <n v="-23221.89723000001"/>
    <n v="0"/>
    <n v="30"/>
    <n v="-1789.7279301004892"/>
    <n v="0"/>
    <n v="0"/>
    <n v="0"/>
    <n v="0"/>
    <n v="0"/>
    <n v="0"/>
    <n v="0"/>
    <n v="-136.23752724611404"/>
    <n v="0"/>
    <n v="0"/>
    <n v="0"/>
    <n v="0"/>
    <n v="0"/>
    <n v="0"/>
    <n v="0"/>
    <n v="0"/>
    <n v="-1421.4811086352438"/>
    <m/>
    <n v="0"/>
    <n v="0"/>
    <n v="0"/>
    <n v="0"/>
    <n v="-189.88666290525703"/>
    <n v="-42.12263131387715"/>
    <n v="0"/>
    <n v="0"/>
    <m/>
    <m/>
    <m/>
    <n v="120611.5432511594"/>
    <n v="0"/>
    <n v="0"/>
    <n v="-23221.897230000002"/>
    <n v="0"/>
    <n v="0"/>
    <n v="0"/>
    <n v="-21431.943688729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0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9.481999999999999"/>
    <n v="19.481999999999999"/>
    <n v="19.481999999999999"/>
    <n v="19.481999999999999"/>
    <m/>
    <n v="707.13"/>
    <n v="119.97"/>
    <m/>
    <n v="16113.5622"/>
    <n v="16113.5622"/>
    <n v="14202.962459999999"/>
    <n v="0"/>
    <n v="1186.3540439409746"/>
    <n v="0"/>
    <n v="0"/>
    <n v="0"/>
    <n v="2095.078904846454"/>
    <n v="9923.4089658687171"/>
    <n v="2337.330401017492"/>
    <n v="0"/>
    <n v="0"/>
    <n v="0"/>
    <n v="0"/>
    <n v="0"/>
    <n v="183.33002115634253"/>
    <m/>
    <n v="41.9116022710118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6.24215993229262"/>
    <n v="0"/>
    <n v="0"/>
    <n v="0"/>
    <n v="5048.12"/>
    <n v="10"/>
    <m/>
    <m/>
    <m/>
    <m/>
    <m/>
    <n v="1704.2853599999985"/>
    <m/>
    <m/>
    <m/>
    <n v="2683.5725609497845"/>
    <m/>
    <m/>
    <m/>
    <m/>
    <m/>
    <m/>
    <m/>
    <m/>
    <m/>
    <m/>
    <m/>
    <m/>
    <n v="12497.394"/>
    <n v="-1682.8045199999997"/>
    <m/>
    <m/>
    <m/>
    <m/>
    <n v="-1910.599740000001"/>
    <n v="0"/>
    <n v="30"/>
    <n v="-147.2512639278757"/>
    <n v="0"/>
    <n v="0"/>
    <n v="0"/>
    <n v="0"/>
    <n v="0"/>
    <n v="0"/>
    <n v="0"/>
    <n v="-11.209049009070895"/>
    <n v="0"/>
    <n v="0"/>
    <n v="0"/>
    <n v="0"/>
    <n v="0"/>
    <n v="0"/>
    <n v="0"/>
    <n v="0"/>
    <n v="-116.95346894674913"/>
    <m/>
    <n v="0"/>
    <n v="0"/>
    <n v="0"/>
    <n v="0"/>
    <n v="-15.623073566425006"/>
    <n v="-3.4656724056309756"/>
    <n v="0"/>
    <n v="0"/>
    <m/>
    <m/>
    <m/>
    <n v="9923.4089658687171"/>
    <n v="0"/>
    <n v="0"/>
    <n v="-1910.5997400000015"/>
    <n v="0"/>
    <n v="0"/>
    <n v="0"/>
    <n v="-1763.329913736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1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2.864000000000001"/>
    <n v="22.864000000000001"/>
    <n v="22.864000000000001"/>
    <n v="22.864000000000001"/>
    <m/>
    <n v="707.13"/>
    <n v="119.97"/>
    <m/>
    <n v="18910.814399999999"/>
    <n v="18910.814399999999"/>
    <n v="16668.54192"/>
    <n v="0"/>
    <n v="1392.3005266741839"/>
    <n v="0"/>
    <n v="0"/>
    <n v="0"/>
    <n v="2458.7765157791459"/>
    <n v="11646.074458249786"/>
    <n v="2743.0819366011669"/>
    <n v="0"/>
    <n v="0"/>
    <n v="0"/>
    <n v="0"/>
    <n v="0"/>
    <n v="215.15540518009527"/>
    <m/>
    <n v="49.1872946475934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6.34846241104293"/>
    <n v="0"/>
    <n v="0"/>
    <n v="0"/>
    <n v="5897.01"/>
    <n v="82"/>
    <m/>
    <m/>
    <m/>
    <m/>
    <m/>
    <m/>
    <m/>
    <m/>
    <m/>
    <n v="3149.4303990122098"/>
    <m/>
    <m/>
    <m/>
    <m/>
    <m/>
    <m/>
    <m/>
    <m/>
    <m/>
    <m/>
    <m/>
    <m/>
    <n v="16665.625799999998"/>
    <n v="-2245.2186000000002"/>
    <m/>
    <m/>
    <m/>
    <m/>
    <n v="-2242.272480000001"/>
    <n v="0"/>
    <n v="30"/>
    <n v="-172.81351495980743"/>
    <n v="0"/>
    <n v="0"/>
    <n v="0"/>
    <n v="0"/>
    <n v="0"/>
    <n v="0"/>
    <n v="0"/>
    <n v="-13.154896650415139"/>
    <n v="0"/>
    <n v="0"/>
    <n v="0"/>
    <n v="0"/>
    <n v="0"/>
    <n v="0"/>
    <n v="0"/>
    <n v="0"/>
    <n v="-137.25613971863663"/>
    <m/>
    <n v="0"/>
    <n v="0"/>
    <n v="0"/>
    <n v="0"/>
    <n v="-18.335178832909463"/>
    <n v="-4.0672997578455394"/>
    <n v="0"/>
    <n v="0"/>
    <m/>
    <m/>
    <m/>
    <n v="11646.074458249786"/>
    <n v="0"/>
    <n v="0"/>
    <n v="-2242.2724800000015"/>
    <n v="0"/>
    <n v="0"/>
    <n v="0"/>
    <n v="-2069.4371803550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2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83.29"/>
    <n v="83.29"/>
    <n v="83.29"/>
    <n v="83.29"/>
    <m/>
    <n v="388.92"/>
    <n v="65.989999999999995"/>
    <m/>
    <n v="37889.4539"/>
    <n v="37889.4539"/>
    <n v="33396.791300000004"/>
    <n v="0"/>
    <n v="2789.5639860339879"/>
    <n v="0"/>
    <n v="0"/>
    <n v="0"/>
    <n v="4926.3174772386583"/>
    <n v="23333.661996815681"/>
    <n v="5495.9417413720721"/>
    <n v="0"/>
    <n v="0"/>
    <n v="0"/>
    <n v="0"/>
    <n v="0"/>
    <n v="431.0777437717623"/>
    <m/>
    <n v="98.549920143410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4.14537652285935"/>
    <n v="0"/>
    <n v="0"/>
    <n v="0"/>
    <n v="14269.29"/>
    <n v="2"/>
    <m/>
    <m/>
    <m/>
    <m/>
    <m/>
    <m/>
    <m/>
    <m/>
    <m/>
    <n v="6310.087117894931"/>
    <m/>
    <m/>
    <m/>
    <m/>
    <m/>
    <m/>
    <m/>
    <m/>
    <m/>
    <m/>
    <m/>
    <m/>
    <n v="33396.791300000004"/>
    <n v="-4492.6925999999949"/>
    <m/>
    <m/>
    <m/>
    <m/>
    <n v="-4492.6626000000006"/>
    <n v="0"/>
    <n v="30"/>
    <n v="-346.24303330789007"/>
    <n v="0"/>
    <n v="0"/>
    <n v="0"/>
    <n v="0"/>
    <n v="0"/>
    <n v="0"/>
    <n v="0"/>
    <n v="-26.356684661803229"/>
    <n v="0"/>
    <n v="0"/>
    <n v="0"/>
    <n v="0"/>
    <n v="0"/>
    <n v="0"/>
    <n v="0"/>
    <n v="0"/>
    <n v="-275.0015365833151"/>
    <m/>
    <n v="0"/>
    <n v="0"/>
    <n v="0"/>
    <n v="0"/>
    <n v="-36.735714430814994"/>
    <n v="-8.1490976319556268"/>
    <n v="0"/>
    <n v="0"/>
    <m/>
    <m/>
    <m/>
    <n v="23333.661996815681"/>
    <n v="0"/>
    <n v="0"/>
    <n v="-4492.6625999999997"/>
    <n v="0"/>
    <n v="0"/>
    <n v="0"/>
    <n v="-4146.2509846691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3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4.5170000000000003"/>
    <n v="4.2459800000000003"/>
    <n v="4.5170000000000003"/>
    <n v="4.2459800000000003"/>
    <m/>
    <n v="707.13"/>
    <n v="119.97"/>
    <m/>
    <n v="3736.0107000000003"/>
    <n v="3736.0107000000003"/>
    <n v="3293.0285099999996"/>
    <n v="0"/>
    <n v="275.06217105437753"/>
    <n v="0"/>
    <n v="0"/>
    <n v="0"/>
    <n v="485.7546151930722"/>
    <n v="2300.7924391145157"/>
    <n v="541.92184690463057"/>
    <n v="0"/>
    <n v="0"/>
    <n v="0"/>
    <n v="0"/>
    <n v="0"/>
    <n v="42.505990430304863"/>
    <m/>
    <n v="9.7174164592013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277991808549729"/>
    <n v="0"/>
    <n v="0"/>
    <n v="0"/>
    <n v="1148.1300000000001"/>
    <n v="7"/>
    <m/>
    <m/>
    <m/>
    <m/>
    <n v="197.58171060000001"/>
    <m/>
    <m/>
    <m/>
    <m/>
    <n v="622.19983871318027"/>
    <m/>
    <m/>
    <m/>
    <m/>
    <m/>
    <m/>
    <m/>
    <m/>
    <m/>
    <m/>
    <m/>
    <m/>
    <n v="3098.3774999999996"/>
    <n v="-413.50255800000105"/>
    <m/>
    <m/>
    <m/>
    <m/>
    <n v="-442.98219000000029"/>
    <n v="0"/>
    <n v="30"/>
    <n v="-34.140948524905752"/>
    <n v="0"/>
    <n v="0"/>
    <n v="0"/>
    <n v="0"/>
    <n v="0"/>
    <n v="0"/>
    <n v="0"/>
    <n v="-2.5988745700632307"/>
    <n v="0"/>
    <n v="0"/>
    <n v="0"/>
    <n v="0"/>
    <n v="0"/>
    <n v="0"/>
    <n v="0"/>
    <n v="0"/>
    <n v="-27.11625188545662"/>
    <m/>
    <n v="0"/>
    <n v="0"/>
    <n v="0"/>
    <n v="0"/>
    <n v="-3.6222884354553884"/>
    <n v="-0.80353363393055943"/>
    <n v="0"/>
    <n v="0"/>
    <m/>
    <m/>
    <m/>
    <n v="2300.7924391145157"/>
    <n v="0"/>
    <n v="0"/>
    <n v="-442.98219000000063"/>
    <n v="0"/>
    <n v="0"/>
    <n v="0"/>
    <n v="-408.83693770398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4"/>
    <s v="Regular"/>
    <s v="Azul"/>
    <s v="A4"/>
    <s v="Serviço público"/>
    <s v="Água, esgoto e saneamento"/>
    <s v="Não se aplica"/>
    <s v="Não se aplica"/>
    <s v="Ponta"/>
    <s v="CATIVO"/>
    <x v="0"/>
    <n v="100"/>
    <n v="94"/>
    <n v="4.6870000000000003"/>
    <n v="4.40578"/>
    <n v="4.6870000000000003"/>
    <n v="4.40578"/>
    <n v="134.72"/>
    <n v="72.13"/>
    <n v="119.97"/>
    <n v="13472"/>
    <n v="900.37270000000001"/>
    <n v="14372.3727"/>
    <n v="12485.828869999999"/>
    <n v="0"/>
    <n v="248.31044150691258"/>
    <n v="0"/>
    <n v="0"/>
    <n v="0"/>
    <n v="3105.7372988894399"/>
    <n v="10366.6968720891"/>
    <n v="562.3174001421304"/>
    <n v="0"/>
    <n v="0"/>
    <n v="0"/>
    <n v="0"/>
    <n v="0"/>
    <n v="44.105728834810471"/>
    <m/>
    <n v="3.9405108490955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732332786821097"/>
    <n v="0"/>
    <n v="0"/>
    <n v="0"/>
    <n v="0"/>
    <n v="0"/>
    <m/>
    <m/>
    <m/>
    <m/>
    <n v="749.14973220000002"/>
    <m/>
    <m/>
    <m/>
    <m/>
    <n v="604.04973292895147"/>
    <m/>
    <m/>
    <m/>
    <m/>
    <m/>
    <m/>
    <m/>
    <m/>
    <m/>
    <m/>
    <m/>
    <m/>
    <n v="11737.464099999999"/>
    <n v="-1772.5962380000019"/>
    <m/>
    <m/>
    <m/>
    <m/>
    <n v="-1886.5438299999996"/>
    <n v="0"/>
    <n v="30"/>
    <n v="-45.179715467818369"/>
    <n v="0"/>
    <n v="0"/>
    <n v="0"/>
    <n v="0"/>
    <n v="0"/>
    <n v="0"/>
    <n v="0"/>
    <n v="-16.61625321702013"/>
    <n v="0"/>
    <n v="0"/>
    <n v="0"/>
    <n v="0"/>
    <n v="0"/>
    <n v="0"/>
    <n v="0"/>
    <n v="0"/>
    <n v="-24.479005789419261"/>
    <m/>
    <n v="0"/>
    <n v="0"/>
    <n v="0"/>
    <n v="0"/>
    <n v="-3.7586154299268131"/>
    <n v="-0.32584103145217247"/>
    <n v="0"/>
    <n v="0"/>
    <m/>
    <m/>
    <n v="10366.6968720891"/>
    <n v="0"/>
    <n v="0"/>
    <n v="0"/>
    <n v="-1886.5438300000005"/>
    <n v="0"/>
    <n v="0"/>
    <n v="0"/>
    <n v="-1842.0995006926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5"/>
    <s v="Regular"/>
    <s v="Azul"/>
    <s v="A4"/>
    <s v="Serviço público"/>
    <s v="Água, esgoto e saneamento"/>
    <s v="Não se aplica"/>
    <s v="Não se aplica"/>
    <s v="Fora ponta"/>
    <s v="CATIVO"/>
    <x v="0"/>
    <n v="100"/>
    <n v="94"/>
    <n v="40.451000000000001"/>
    <n v="38.023940000000003"/>
    <n v="40.451000000000001"/>
    <n v="38.023940000000003"/>
    <n v="46.29"/>
    <n v="72.13"/>
    <n v="119.97"/>
    <n v="4629"/>
    <n v="7770.6370999999999"/>
    <n v="12399.6371"/>
    <n v="11639.290510000001"/>
    <n v="0"/>
    <n v="2143.0351332187156"/>
    <n v="0"/>
    <n v="0"/>
    <n v="0"/>
    <n v="1791.3012373515901"/>
    <n v="2837.3428309380402"/>
    <n v="4853.0619059418214"/>
    <n v="0"/>
    <n v="0"/>
    <n v="0"/>
    <n v="0"/>
    <n v="0"/>
    <n v="380.65304823915471"/>
    <m/>
    <n v="34.0084498307582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0.16953137608283"/>
    <n v="0"/>
    <n v="0"/>
    <n v="0"/>
    <n v="0"/>
    <n v="0"/>
    <m/>
    <m/>
    <m/>
    <m/>
    <n v="698.35743059999959"/>
    <m/>
    <m/>
    <m/>
    <m/>
    <n v="5213.2314373179042"/>
    <m/>
    <m/>
    <m/>
    <m/>
    <m/>
    <m/>
    <m/>
    <m/>
    <m/>
    <m/>
    <m/>
    <m/>
    <n v="10940.200199999999"/>
    <n v="-715.48867400000199"/>
    <m/>
    <m/>
    <m/>
    <m/>
    <n v="-760.34658999999954"/>
    <n v="0"/>
    <n v="30"/>
    <n v="-256.09980934123632"/>
    <n v="0"/>
    <n v="0"/>
    <n v="0"/>
    <n v="0"/>
    <n v="0"/>
    <n v="0"/>
    <n v="0"/>
    <n v="-9.5837838436800666"/>
    <n v="0"/>
    <n v="0"/>
    <n v="0"/>
    <n v="0"/>
    <n v="0"/>
    <n v="0"/>
    <n v="0"/>
    <n v="0"/>
    <n v="-211.26525777422626"/>
    <m/>
    <n v="0"/>
    <n v="0"/>
    <n v="0"/>
    <n v="0"/>
    <n v="-32.438607372726551"/>
    <n v="-2.8121603506020527"/>
    <n v="0"/>
    <n v="0"/>
    <m/>
    <m/>
    <n v="2837.3428309380402"/>
    <n v="0"/>
    <n v="0"/>
    <n v="0"/>
    <n v="-760.3465899999992"/>
    <n v="0"/>
    <n v="0"/>
    <n v="0"/>
    <n v="-504.17870577822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6"/>
    <s v="Regular"/>
    <s v="Azul"/>
    <s v="A4"/>
    <s v="Serviço público"/>
    <s v="Água, esgoto e saneamento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412.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27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3.7549999999999999"/>
    <n v="3.7549999999999999"/>
    <n v="3.7549999999999999"/>
    <n v="3.7549999999999999"/>
    <m/>
    <n v="707.13"/>
    <n v="119.97"/>
    <m/>
    <n v="3105.7604999999999"/>
    <n v="3105.7604999999999"/>
    <n v="2737.5076499999996"/>
    <n v="0"/>
    <n v="228.66027281584849"/>
    <n v="0"/>
    <n v="0"/>
    <n v="0"/>
    <n v="403.80973656187422"/>
    <n v="1912.6578722326778"/>
    <n v="450.50177886360137"/>
    <n v="0"/>
    <n v="0"/>
    <n v="0"/>
    <n v="0"/>
    <n v="0"/>
    <n v="35.335398287756199"/>
    <m/>
    <n v="8.07812681078172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.735412716649151"/>
    <n v="0"/>
    <n v="0"/>
    <n v="0"/>
    <n v="1032.08"/>
    <n v="4"/>
    <m/>
    <m/>
    <m/>
    <m/>
    <m/>
    <m/>
    <m/>
    <m/>
    <m/>
    <n v="517.23719158025051"/>
    <m/>
    <m/>
    <m/>
    <m/>
    <m/>
    <m/>
    <m/>
    <m/>
    <m/>
    <m/>
    <m/>
    <m/>
    <n v="2741.1527999999994"/>
    <n v="-364.63770000000113"/>
    <m/>
    <m/>
    <m/>
    <m/>
    <n v="-368.25285000000019"/>
    <n v="0"/>
    <n v="30"/>
    <n v="-28.381505802749643"/>
    <n v="0"/>
    <n v="0"/>
    <n v="0"/>
    <n v="0"/>
    <n v="0"/>
    <n v="0"/>
    <n v="0"/>
    <n v="-2.1604547289323364"/>
    <n v="0"/>
    <n v="0"/>
    <n v="0"/>
    <n v="0"/>
    <n v="0"/>
    <n v="0"/>
    <n v="0"/>
    <n v="0"/>
    <n v="-22.541847648857583"/>
    <m/>
    <n v="0"/>
    <n v="0"/>
    <n v="0"/>
    <n v="0"/>
    <n v="-3.0112227308246631"/>
    <n v="-0.6679806941353208"/>
    <n v="0"/>
    <n v="0"/>
    <m/>
    <m/>
    <m/>
    <n v="1912.6578722326778"/>
    <n v="0"/>
    <n v="0"/>
    <n v="-368.25285000000031"/>
    <n v="0"/>
    <n v="0"/>
    <n v="0"/>
    <n v="-339.86776645527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8"/>
    <s v="Regular"/>
    <s v="Convencional"/>
    <s v="B1"/>
    <s v="Residencial"/>
    <s v="Residencial"/>
    <s v="Não se aplica"/>
    <s v="Não se aplica"/>
    <s v="Não se aplica"/>
    <s v="CATIVO"/>
    <x v="1"/>
    <n v="0"/>
    <n v="0"/>
    <n v="529.947"/>
    <n v="529.947"/>
    <n v="529.947"/>
    <n v="529.947"/>
    <m/>
    <n v="707.13"/>
    <n v="119.97"/>
    <m/>
    <n v="438319.16369999998"/>
    <n v="438319.16369999998"/>
    <n v="386347.26140999998"/>
    <n v="0"/>
    <n v="32271.058747787072"/>
    <n v="0"/>
    <n v="0"/>
    <n v="0"/>
    <n v="56990.082146938897"/>
    <n v="269935.36655555019"/>
    <n v="63579.777950313975"/>
    <n v="0"/>
    <n v="0"/>
    <n v="0"/>
    <n v="0"/>
    <n v="0"/>
    <n v="4986.9209897207811"/>
    <m/>
    <n v="1140.0743193058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18.4372204926949"/>
    <n v="0"/>
    <n v="0"/>
    <n v="0"/>
    <n v="91902.14"/>
    <n v="3112"/>
    <m/>
    <m/>
    <m/>
    <m/>
    <m/>
    <m/>
    <m/>
    <m/>
    <m/>
    <n v="72998.215170806667"/>
    <m/>
    <m/>
    <m/>
    <m/>
    <m/>
    <m/>
    <m/>
    <m/>
    <m/>
    <m/>
    <m/>
    <m/>
    <n v="386349.4485"/>
    <n v="-51969.745200000005"/>
    <m/>
    <m/>
    <m/>
    <m/>
    <n v="-51971.902290000027"/>
    <n v="0"/>
    <n v="31"/>
    <n v="-4005.5110134886345"/>
    <n v="0"/>
    <n v="0"/>
    <n v="0"/>
    <n v="0"/>
    <n v="0"/>
    <n v="0"/>
    <n v="0"/>
    <n v="-304.90719100758724"/>
    <n v="0"/>
    <n v="0"/>
    <n v="0"/>
    <n v="0"/>
    <n v="0"/>
    <n v="0"/>
    <n v="0"/>
    <n v="0"/>
    <n v="-3181.3540708306609"/>
    <m/>
    <n v="0"/>
    <n v="0"/>
    <n v="0"/>
    <n v="0"/>
    <n v="-424.97695140674659"/>
    <n v="-94.272800243656775"/>
    <n v="0"/>
    <n v="0"/>
    <m/>
    <m/>
    <m/>
    <n v="269935.36655555019"/>
    <n v="0"/>
    <n v="0"/>
    <n v="-51971.902289999998"/>
    <n v="0"/>
    <n v="0"/>
    <n v="0"/>
    <n v="-47965.886346117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9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7.6999999999999999E-2"/>
    <n v="-7.6999999999999999E-2"/>
    <n v="-7.6999999999999999E-2"/>
    <n v="-7.6999999999999999E-2"/>
    <m/>
    <n v="707.13"/>
    <n v="119.97"/>
    <m/>
    <n v="-63.686700000000002"/>
    <n v="-63.686700000000002"/>
    <n v="-56.135309999999997"/>
    <n v="0"/>
    <n v="-4.6889057275154018"/>
    <n v="0"/>
    <n v="0"/>
    <n v="0"/>
    <n v="-8.2805192317614686"/>
    <n v="-39.220947047114834"/>
    <n v="-9.2379858781617319"/>
    <n v="0"/>
    <n v="0"/>
    <n v="0"/>
    <n v="0"/>
    <n v="0"/>
    <n v="-0.72458739498195135"/>
    <m/>
    <n v="-0.16565000384292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3684758399952024"/>
    <n v="0"/>
    <n v="0"/>
    <n v="0"/>
    <n v="-9.07"/>
    <n v="0"/>
    <m/>
    <m/>
    <m/>
    <m/>
    <m/>
    <m/>
    <m/>
    <m/>
    <m/>
    <n v="-10.606461718156934"/>
    <m/>
    <m/>
    <m/>
    <m/>
    <m/>
    <m/>
    <m/>
    <m/>
    <m/>
    <m/>
    <m/>
    <m/>
    <n v="-58.322399999999995"/>
    <n v="5.3343000000000131"/>
    <m/>
    <m/>
    <m/>
    <m/>
    <n v="7.551390000000004"/>
    <n v="0"/>
    <n v="31"/>
    <n v="0.58199093124148149"/>
    <n v="0"/>
    <n v="0"/>
    <n v="0"/>
    <n v="0"/>
    <n v="0"/>
    <n v="0"/>
    <n v="0"/>
    <n v="4.4302267410861518E-2"/>
    <n v="0"/>
    <n v="0"/>
    <n v="0"/>
    <n v="0"/>
    <n v="0"/>
    <n v="0"/>
    <n v="0"/>
    <n v="0"/>
    <n v="0.46224294779281916"/>
    <m/>
    <n v="0"/>
    <n v="0"/>
    <n v="0"/>
    <n v="0"/>
    <n v="6.1748109260585604E-2"/>
    <n v="1.3697606777208993E-2"/>
    <n v="0"/>
    <n v="0"/>
    <m/>
    <m/>
    <m/>
    <n v="-39.220947047114834"/>
    <n v="0"/>
    <n v="0"/>
    <n v="7.5513900000000049"/>
    <n v="0"/>
    <n v="0"/>
    <n v="0"/>
    <n v="6.9693257036101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0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4.8079999999999998"/>
    <n v="4.8079999999999998"/>
    <n v="4.8079999999999998"/>
    <n v="4.8079999999999998"/>
    <m/>
    <n v="707.13"/>
    <n v="119.97"/>
    <m/>
    <n v="3976.6967999999997"/>
    <n v="3976.6967999999997"/>
    <n v="3505.1762399999998"/>
    <n v="0"/>
    <n v="292.78258101161106"/>
    <n v="0"/>
    <n v="0"/>
    <n v="0"/>
    <n v="517.04852553648232"/>
    <n v="2449.0170571756898"/>
    <n v="576.83423509352735"/>
    <n v="0"/>
    <n v="0"/>
    <n v="0"/>
    <n v="0"/>
    <n v="0"/>
    <n v="45.244366169782104"/>
    <m/>
    <n v="10.3434443958025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449764138921211"/>
    <n v="0"/>
    <n v="0"/>
    <n v="0"/>
    <n v="3244"/>
    <n v="21"/>
    <m/>
    <m/>
    <m/>
    <m/>
    <m/>
    <m/>
    <m/>
    <m/>
    <m/>
    <n v="662.28399923244854"/>
    <m/>
    <m/>
    <m/>
    <m/>
    <m/>
    <m/>
    <m/>
    <m/>
    <m/>
    <m/>
    <m/>
    <m/>
    <n v="3506.6342999999993"/>
    <n v="-470.09250000000111"/>
    <m/>
    <m/>
    <m/>
    <m/>
    <n v="-471.52056000000022"/>
    <n v="0"/>
    <n v="31"/>
    <n v="-36.340420745571691"/>
    <n v="0"/>
    <n v="0"/>
    <n v="0"/>
    <n v="0"/>
    <n v="0"/>
    <n v="0"/>
    <n v="0"/>
    <n v="-2.7663026196288456"/>
    <n v="0"/>
    <n v="0"/>
    <n v="0"/>
    <n v="0"/>
    <n v="0"/>
    <n v="0"/>
    <n v="0"/>
    <n v="0"/>
    <n v="-28.86317003880356"/>
    <m/>
    <n v="0"/>
    <n v="0"/>
    <n v="0"/>
    <n v="0"/>
    <n v="-3.8556481730505894"/>
    <n v="-0.85529991408858308"/>
    <n v="0"/>
    <n v="0"/>
    <m/>
    <m/>
    <m/>
    <n v="2449.0170571756898"/>
    <n v="0"/>
    <n v="0"/>
    <n v="-471.52055999999993"/>
    <n v="0"/>
    <n v="0"/>
    <n v="0"/>
    <n v="-435.17555822022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1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4.05"/>
    <n v="4.05"/>
    <n v="4.05"/>
    <n v="4.05"/>
    <m/>
    <n v="636.83000000000004"/>
    <n v="119.97"/>
    <m/>
    <n v="3065.04"/>
    <n v="3065.04"/>
    <n v="2695.3964999999994"/>
    <n v="0"/>
    <n v="0"/>
    <n v="0"/>
    <n v="0"/>
    <n v="0"/>
    <n v="435.53380374849286"/>
    <n v="2062.9199420885075"/>
    <n v="485.89406242279244"/>
    <n v="0"/>
    <n v="0"/>
    <n v="0"/>
    <n v="0"/>
    <n v="0"/>
    <n v="0"/>
    <m/>
    <n v="8.7127599423877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978274701046359"/>
    <n v="0"/>
    <n v="0"/>
    <n v="0"/>
    <n v="128.63"/>
    <n v="7"/>
    <m/>
    <m/>
    <m/>
    <m/>
    <m/>
    <m/>
    <m/>
    <n v="1751.9894999999997"/>
    <m/>
    <n v="557.87233712383886"/>
    <m/>
    <m/>
    <m/>
    <m/>
    <m/>
    <m/>
    <m/>
    <m/>
    <m/>
    <m/>
    <m/>
    <m/>
    <n v="943.40699999999993"/>
    <n v="-129.38699999999994"/>
    <m/>
    <m/>
    <m/>
    <m/>
    <n v="-369.64350000000036"/>
    <n v="0"/>
    <n v="31"/>
    <n v="-3.0506427332686599"/>
    <n v="0"/>
    <n v="0"/>
    <n v="0"/>
    <n v="0"/>
    <n v="0"/>
    <n v="0"/>
    <n v="0"/>
    <n v="-2.3301841949869413"/>
    <n v="0"/>
    <n v="0"/>
    <n v="0"/>
    <n v="0"/>
    <n v="0"/>
    <n v="0"/>
    <n v="0"/>
    <n v="0"/>
    <n v="0"/>
    <m/>
    <n v="0"/>
    <n v="0"/>
    <n v="0"/>
    <n v="0"/>
    <n v="0"/>
    <n v="-0.72045853828177187"/>
    <n v="0"/>
    <n v="0"/>
    <m/>
    <m/>
    <m/>
    <n v="2062.9199420885075"/>
    <n v="0"/>
    <n v="0"/>
    <n v="-369.64350000000059"/>
    <n v="0"/>
    <n v="0"/>
    <n v="0"/>
    <n v="-366.56842986520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2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8.0079999999999991"/>
    <n v="8.0079999999999991"/>
    <n v="8.0079999999999991"/>
    <n v="8.0079999999999991"/>
    <m/>
    <n v="636.83000000000004"/>
    <n v="119.97"/>
    <m/>
    <n v="6060.4543999999996"/>
    <n v="6060.4543999999996"/>
    <n v="5329.5642399999988"/>
    <n v="0"/>
    <n v="0"/>
    <n v="0"/>
    <n v="0"/>
    <n v="0"/>
    <n v="861.17400010319272"/>
    <n v="4078.978492899942"/>
    <n v="960.7505313288201"/>
    <n v="0"/>
    <n v="0"/>
    <n v="0"/>
    <n v="0"/>
    <n v="0"/>
    <n v="0"/>
    <m/>
    <n v="17.2276003996644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32148735950102"/>
    <n v="0"/>
    <n v="0"/>
    <n v="0"/>
    <n v="458.14"/>
    <n v="30"/>
    <m/>
    <m/>
    <m/>
    <m/>
    <m/>
    <m/>
    <m/>
    <n v="2131.8096799999994"/>
    <m/>
    <n v="1103.0720186883211"/>
    <m/>
    <m/>
    <m/>
    <m/>
    <m/>
    <m/>
    <m/>
    <m/>
    <m/>
    <m/>
    <m/>
    <m/>
    <n v="3198.5531999999998"/>
    <n v="-437.74944000000096"/>
    <m/>
    <m/>
    <m/>
    <m/>
    <n v="-730.89016000000072"/>
    <n v="0"/>
    <n v="31"/>
    <n v="-6.031986915559628"/>
    <n v="0"/>
    <n v="0"/>
    <n v="0"/>
    <n v="0"/>
    <n v="0"/>
    <n v="0"/>
    <n v="0"/>
    <n v="-4.6074358107297257"/>
    <n v="0"/>
    <n v="0"/>
    <n v="0"/>
    <n v="0"/>
    <n v="0"/>
    <n v="0"/>
    <n v="0"/>
    <n v="0"/>
    <n v="0"/>
    <m/>
    <n v="0"/>
    <n v="0"/>
    <n v="0"/>
    <n v="0"/>
    <n v="0"/>
    <n v="-1.4245511048297335"/>
    <n v="0"/>
    <n v="0"/>
    <m/>
    <m/>
    <m/>
    <n v="4078.978492899942"/>
    <n v="0"/>
    <n v="0"/>
    <n v="-730.89016000000083"/>
    <n v="0"/>
    <n v="0"/>
    <n v="0"/>
    <n v="-724.80987317545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3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8.2279999999999998"/>
    <n v="8.2279999999999998"/>
    <n v="8.2279999999999998"/>
    <n v="8.2279999999999998"/>
    <m/>
    <n v="636.83000000000004"/>
    <n v="119.97"/>
    <m/>
    <n v="6226.9503999999997"/>
    <n v="6226.9503999999997"/>
    <n v="5475.9808399999993"/>
    <n v="0"/>
    <n v="0"/>
    <n v="0"/>
    <n v="0"/>
    <n v="0"/>
    <n v="884.8326264796541"/>
    <n v="4191.0383416059849"/>
    <n v="987.14477669499661"/>
    <n v="0"/>
    <n v="0"/>
    <n v="0"/>
    <n v="0"/>
    <n v="0"/>
    <n v="0"/>
    <m/>
    <n v="17.700886124929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.23141833091591"/>
    <n v="0"/>
    <n v="0"/>
    <n v="0"/>
    <n v="1261.8399999999999"/>
    <n v="60"/>
    <m/>
    <m/>
    <m/>
    <m/>
    <m/>
    <m/>
    <m/>
    <n v="547.49111999999957"/>
    <m/>
    <n v="1133.3761950259125"/>
    <m/>
    <m/>
    <m/>
    <m/>
    <m/>
    <m/>
    <m/>
    <m/>
    <m/>
    <m/>
    <m/>
    <m/>
    <n v="4929.6877000000004"/>
    <n v="-674.59765999999945"/>
    <m/>
    <m/>
    <m/>
    <m/>
    <n v="-750.9695600000008"/>
    <n v="0"/>
    <n v="31"/>
    <n v="-6.1977008418109563"/>
    <n v="0"/>
    <n v="0"/>
    <n v="0"/>
    <n v="0"/>
    <n v="0"/>
    <n v="0"/>
    <n v="0"/>
    <n v="-4.7340137176179269"/>
    <n v="0"/>
    <n v="0"/>
    <n v="0"/>
    <n v="0"/>
    <n v="0"/>
    <n v="0"/>
    <n v="0"/>
    <n v="0"/>
    <n v="0"/>
    <m/>
    <n v="0"/>
    <n v="0"/>
    <n v="0"/>
    <n v="0"/>
    <n v="0"/>
    <n v="-1.4636871241931892"/>
    <n v="0"/>
    <n v="0"/>
    <m/>
    <m/>
    <m/>
    <n v="4191.0383416059849"/>
    <n v="0"/>
    <n v="0"/>
    <n v="-750.96956000000046"/>
    <n v="0"/>
    <n v="0"/>
    <n v="0"/>
    <n v="-744.7222323286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4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2.931"/>
    <n v="2.931"/>
    <n v="2.931"/>
    <n v="2.931"/>
    <m/>
    <n v="636.83000000000004"/>
    <n v="119.97"/>
    <m/>
    <n v="2218.1808000000001"/>
    <n v="2218.1808000000001"/>
    <n v="1950.6684299999997"/>
    <n v="0"/>
    <n v="0"/>
    <n v="0"/>
    <n v="0"/>
    <n v="0"/>
    <n v="315.19742686094634"/>
    <n v="1492.9428025336829"/>
    <n v="351.64333258301349"/>
    <n v="0"/>
    <n v="0"/>
    <n v="0"/>
    <n v="0"/>
    <n v="0"/>
    <n v="0"/>
    <m/>
    <n v="6.30545663978727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090943987349846"/>
    <n v="0"/>
    <n v="0"/>
    <n v="0"/>
    <n v="922.8"/>
    <n v="38"/>
    <m/>
    <m/>
    <m/>
    <m/>
    <m/>
    <m/>
    <m/>
    <m/>
    <m/>
    <n v="403.73427657036336"/>
    <m/>
    <m/>
    <m/>
    <m/>
    <m/>
    <m/>
    <m/>
    <m/>
    <m/>
    <m/>
    <m/>
    <m/>
    <n v="1950.0029"/>
    <n v="-268.20790000000034"/>
    <m/>
    <m/>
    <m/>
    <m/>
    <n v="-267.51237000000026"/>
    <n v="0"/>
    <n v="31"/>
    <n v="-2.2077614447432552"/>
    <n v="0"/>
    <n v="0"/>
    <n v="0"/>
    <n v="0"/>
    <n v="0"/>
    <n v="0"/>
    <n v="0"/>
    <n v="-1.6863629322239149"/>
    <n v="0"/>
    <n v="0"/>
    <n v="0"/>
    <n v="0"/>
    <n v="0"/>
    <n v="0"/>
    <n v="0"/>
    <n v="0"/>
    <n v="0"/>
    <m/>
    <n v="0"/>
    <n v="0"/>
    <n v="0"/>
    <n v="0"/>
    <n v="0"/>
    <n v="-0.52139851251947444"/>
    <n v="0"/>
    <n v="0"/>
    <m/>
    <m/>
    <m/>
    <n v="1492.9428025336829"/>
    <n v="0"/>
    <n v="0"/>
    <n v="-267.51237000000037"/>
    <n v="0"/>
    <n v="0"/>
    <n v="0"/>
    <n v="-265.28693035430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5"/>
    <s v="Regular"/>
    <s v="Convencional"/>
    <s v="B3"/>
    <s v="Industrial"/>
    <s v="Não se aplica"/>
    <s v="Não se aplica"/>
    <s v="Não se aplica"/>
    <s v="Não se aplica"/>
    <s v="CATIVO"/>
    <x v="1"/>
    <n v="0"/>
    <n v="0"/>
    <n v="151.34899999999999"/>
    <n v="151.34899999999999"/>
    <n v="151.34899999999999"/>
    <n v="151.34899999999999"/>
    <m/>
    <n v="707.13"/>
    <n v="119.97"/>
    <m/>
    <n v="125180.75789999998"/>
    <n v="125180.75789999998"/>
    <n v="110337.96146999998"/>
    <n v="0"/>
    <n v="9216.3791292692003"/>
    <n v="0"/>
    <n v="0"/>
    <n v="0"/>
    <n v="16275.952015686578"/>
    <n v="77091.572917321857"/>
    <n v="18157.921099661038"/>
    <n v="0"/>
    <n v="0"/>
    <n v="0"/>
    <n v="0"/>
    <n v="0"/>
    <n v="1424.2282810795239"/>
    <m/>
    <n v="325.59691469640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89.8370117848553"/>
    <n v="0"/>
    <n v="0"/>
    <n v="0"/>
    <n v="43610.39"/>
    <n v="69"/>
    <m/>
    <m/>
    <m/>
    <m/>
    <m/>
    <m/>
    <m/>
    <m/>
    <m/>
    <n v="20847.758111445895"/>
    <m/>
    <m/>
    <m/>
    <m/>
    <m/>
    <m/>
    <m/>
    <m/>
    <m/>
    <m/>
    <m/>
    <m/>
    <n v="110338.69049999998"/>
    <n v="-14842.097399999984"/>
    <m/>
    <m/>
    <m/>
    <m/>
    <n v="-14842.796430000006"/>
    <n v="0"/>
    <n v="31"/>
    <n v="-1143.9447461359159"/>
    <n v="0"/>
    <n v="0"/>
    <n v="0"/>
    <n v="0"/>
    <n v="0"/>
    <n v="0"/>
    <n v="0"/>
    <n v="-87.079271043723566"/>
    <n v="0"/>
    <n v="0"/>
    <n v="0"/>
    <n v="0"/>
    <n v="0"/>
    <n v="0"/>
    <n v="0"/>
    <n v="0"/>
    <n v="-908.57153124019715"/>
    <m/>
    <n v="0"/>
    <n v="0"/>
    <n v="0"/>
    <n v="0"/>
    <n v="-121.37031933091362"/>
    <n v="-26.923624521088357"/>
    <n v="0"/>
    <n v="0"/>
    <m/>
    <m/>
    <m/>
    <n v="77091.572917321857"/>
    <n v="0"/>
    <n v="0"/>
    <n v="-14842.796430000002"/>
    <n v="0"/>
    <n v="0"/>
    <n v="0"/>
    <n v="-13698.70747942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6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7.5279999999999996"/>
    <n v="7.5279999999999996"/>
    <n v="7.5279999999999996"/>
    <n v="7.5279999999999996"/>
    <m/>
    <n v="707.13"/>
    <n v="119.97"/>
    <m/>
    <n v="6226.4087999999992"/>
    <n v="6226.4087999999992"/>
    <n v="5488.1378399999985"/>
    <n v="0"/>
    <n v="458.41665346410315"/>
    <n v="0"/>
    <n v="0"/>
    <n v="0"/>
    <n v="809.55517891818624"/>
    <n v="3834.4842775413044"/>
    <n v="903.16308689352627"/>
    <n v="0"/>
    <n v="0"/>
    <n v="0"/>
    <n v="0"/>
    <n v="0"/>
    <n v="70.840180641871811"/>
    <m/>
    <n v="16.194976999085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3.79072887641405"/>
    <n v="0"/>
    <n v="0"/>
    <n v="0"/>
    <n v="2383.73"/>
    <n v="4"/>
    <m/>
    <m/>
    <m/>
    <m/>
    <m/>
    <m/>
    <m/>
    <m/>
    <m/>
    <n v="1036.9538157699403"/>
    <m/>
    <m/>
    <m/>
    <m/>
    <m/>
    <m/>
    <m/>
    <m/>
    <m/>
    <m/>
    <m/>
    <m/>
    <n v="5489.5958999999993"/>
    <n v="-736.84290000000055"/>
    <m/>
    <m/>
    <m/>
    <m/>
    <n v="-738.27096000000029"/>
    <n v="0"/>
    <n v="31"/>
    <n v="-56.899061433582574"/>
    <n v="0"/>
    <n v="0"/>
    <n v="0"/>
    <n v="0"/>
    <n v="0"/>
    <n v="0"/>
    <n v="0"/>
    <n v="-4.3312658320646733"/>
    <n v="0"/>
    <n v="0"/>
    <n v="0"/>
    <n v="0"/>
    <n v="0"/>
    <n v="0"/>
    <n v="0"/>
    <n v="0"/>
    <n v="-45.191752090705677"/>
    <m/>
    <n v="0"/>
    <n v="0"/>
    <n v="0"/>
    <n v="0"/>
    <n v="-6.0368800845933492"/>
    <n v="-1.3391634262185619"/>
    <n v="0"/>
    <n v="0"/>
    <m/>
    <m/>
    <m/>
    <n v="3834.4842775413044"/>
    <n v="0"/>
    <n v="0"/>
    <n v="-738.27096000000074"/>
    <n v="0"/>
    <n v="0"/>
    <n v="0"/>
    <n v="-681.36472593216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7"/>
    <s v="Regular"/>
    <s v="Verde"/>
    <s v="A4"/>
    <s v="Industrial"/>
    <s v="Não se aplica"/>
    <s v="Não se aplica"/>
    <s v="Não se aplica"/>
    <s v="Ponta"/>
    <s v="CATIVO"/>
    <x v="1"/>
    <n v="0"/>
    <n v="0"/>
    <n v="89.47"/>
    <n v="89.47"/>
    <n v="89.47"/>
    <n v="89.47"/>
    <m/>
    <n v="3312.96"/>
    <n v="119.97"/>
    <m/>
    <n v="307144.24710000004"/>
    <n v="307144.24710000004"/>
    <n v="266603.60070000001"/>
    <n v="0"/>
    <n v="4739.9904419934855"/>
    <n v="0"/>
    <n v="0"/>
    <n v="0"/>
    <n v="66891.261731767809"/>
    <n v="223065.78184744917"/>
    <n v="10734.05969505364"/>
    <n v="0"/>
    <n v="0"/>
    <n v="0"/>
    <n v="0"/>
    <n v="0"/>
    <n v="841.93291206539197"/>
    <m/>
    <n v="75.220291373709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6.62722731744896"/>
    <n v="0"/>
    <n v="0"/>
    <n v="0"/>
    <n v="0"/>
    <n v="0"/>
    <m/>
    <m/>
    <m/>
    <m/>
    <m/>
    <m/>
    <m/>
    <m/>
    <m/>
    <n v="11530.686922371089"/>
    <m/>
    <m/>
    <m/>
    <m/>
    <m/>
    <m/>
    <m/>
    <m/>
    <m/>
    <m/>
    <m/>
    <m/>
    <n v="266603.60070000001"/>
    <n v="-40540.676400000055"/>
    <m/>
    <m/>
    <m/>
    <m/>
    <n v="-40540.646399999991"/>
    <n v="0"/>
    <n v="31"/>
    <n v="-903.12734227265173"/>
    <n v="0"/>
    <n v="0"/>
    <n v="0"/>
    <n v="0"/>
    <n v="0"/>
    <n v="0"/>
    <n v="0"/>
    <n v="-357.88028283615131"/>
    <n v="0"/>
    <n v="0"/>
    <n v="0"/>
    <n v="0"/>
    <n v="0"/>
    <n v="0"/>
    <n v="0"/>
    <n v="0"/>
    <n v="-467.27899466169038"/>
    <m/>
    <n v="0"/>
    <n v="0"/>
    <n v="0"/>
    <n v="0"/>
    <n v="-71.748095266812811"/>
    <n v="-6.2199695080063719"/>
    <n v="0"/>
    <n v="0"/>
    <m/>
    <m/>
    <m/>
    <n v="223065.78184744917"/>
    <n v="0"/>
    <n v="0"/>
    <n v="-40540.646400000027"/>
    <n v="0"/>
    <n v="0"/>
    <n v="0"/>
    <n v="-39637.443867885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8"/>
    <s v="Regular"/>
    <s v="Verde"/>
    <s v="A4"/>
    <s v="Industrial"/>
    <s v="Não se aplica"/>
    <s v="Não se aplica"/>
    <s v="Não se aplica"/>
    <s v="Fora ponta"/>
    <s v="CATIVO"/>
    <x v="1"/>
    <n v="0"/>
    <n v="0"/>
    <n v="2405.5880000000002"/>
    <n v="2405.5880000000002"/>
    <n v="2405.5880000000002"/>
    <n v="2405.5880000000002"/>
    <m/>
    <n v="72.13"/>
    <n v="119.97"/>
    <m/>
    <n v="462113.45480000001"/>
    <n v="462113.45480000001"/>
    <n v="447463.42388000002"/>
    <n v="0"/>
    <n v="127444.55266988069"/>
    <n v="0"/>
    <n v="0"/>
    <n v="0"/>
    <n v="0"/>
    <n v="0"/>
    <n v="288607.6360087705"/>
    <n v="0"/>
    <n v="0"/>
    <n v="0"/>
    <n v="0"/>
    <n v="0"/>
    <n v="22637.126523634317"/>
    <m/>
    <n v="2022.4547925013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18.988471086705"/>
    <n v="0"/>
    <n v="0"/>
    <n v="0"/>
    <n v="0"/>
    <n v="0"/>
    <m/>
    <m/>
    <m/>
    <m/>
    <m/>
    <m/>
    <m/>
    <m/>
    <m/>
    <n v="310026.62447985722"/>
    <m/>
    <m/>
    <m/>
    <m/>
    <m/>
    <m/>
    <m/>
    <m/>
    <m/>
    <m/>
    <m/>
    <m/>
    <n v="447463.79590000003"/>
    <n v="-14649.688900000008"/>
    <m/>
    <m/>
    <m/>
    <m/>
    <n v="-14650.030919999976"/>
    <n v="0"/>
    <n v="31"/>
    <n v="-14660.107110939454"/>
    <n v="0"/>
    <n v="0"/>
    <n v="0"/>
    <n v="0"/>
    <n v="0"/>
    <n v="0"/>
    <n v="0"/>
    <n v="0"/>
    <n v="0"/>
    <n v="0"/>
    <n v="0"/>
    <n v="0"/>
    <n v="0"/>
    <n v="0"/>
    <n v="0"/>
    <n v="0"/>
    <n v="-12563.772685930773"/>
    <m/>
    <n v="0"/>
    <n v="0"/>
    <n v="0"/>
    <n v="0"/>
    <n v="-1929.0975410383544"/>
    <n v="-167.23688397033675"/>
    <n v="0"/>
    <n v="0"/>
    <m/>
    <m/>
    <m/>
    <n v="0"/>
    <n v="0"/>
    <n v="0"/>
    <n v="-14650.03091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9"/>
    <s v="Regular"/>
    <s v="Verde"/>
    <s v="A4"/>
    <s v="Industrial"/>
    <s v="Não se aplica"/>
    <s v="Não se aplica"/>
    <s v="Não se aplica"/>
    <s v="Não se aplica"/>
    <s v="CATIVO"/>
    <x v="1"/>
    <n v="10867"/>
    <n v="10867"/>
    <n v="0"/>
    <n v="0"/>
    <n v="0"/>
    <n v="0"/>
    <n v="46.29"/>
    <m/>
    <m/>
    <n v="503033.43"/>
    <m/>
    <n v="503033.43"/>
    <n v="447177.05"/>
    <n v="0"/>
    <n v="0"/>
    <n v="0"/>
    <n v="0"/>
    <n v="0"/>
    <n v="194660.70546299728"/>
    <n v="308334.0454380367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1294.29"/>
    <n v="26"/>
    <m/>
    <m/>
    <m/>
    <m/>
    <m/>
    <m/>
    <m/>
    <m/>
    <m/>
    <n v="0"/>
    <m/>
    <m/>
    <m/>
    <m/>
    <m/>
    <m/>
    <m/>
    <m/>
    <m/>
    <m/>
    <m/>
    <m/>
    <n v="447177.05"/>
    <n v="-55856.410000000033"/>
    <m/>
    <m/>
    <m/>
    <m/>
    <n v="-55856.380000000005"/>
    <n v="0"/>
    <n v="31"/>
    <n v="-1041.4697902927001"/>
    <n v="0"/>
    <n v="0"/>
    <n v="0"/>
    <n v="0"/>
    <m/>
    <m/>
    <m/>
    <n v="-1041.46979029270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8334.04543803679"/>
    <m/>
    <n v="0"/>
    <n v="0"/>
    <n v="-55856.380000000005"/>
    <m/>
    <n v="0"/>
    <m/>
    <n v="-54789.099956919148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40"/>
    <s v="Regular"/>
    <s v="Branca"/>
    <s v="B3"/>
    <s v="Industrial"/>
    <s v="Não se aplica"/>
    <s v="Não se aplica"/>
    <s v="Não se aplica"/>
    <s v="Ponta"/>
    <s v="CATIVO"/>
    <x v="1"/>
    <n v="0"/>
    <n v="0"/>
    <n v="5.1999999999999998E-2"/>
    <n v="5.1999999999999998E-2"/>
    <n v="5.1999999999999998E-2"/>
    <n v="5.1999999999999998E-2"/>
    <m/>
    <n v="2187.66"/>
    <n v="119.97"/>
    <m/>
    <n v="119.99675999999998"/>
    <n v="119.99675999999998"/>
    <n v="103.5294"/>
    <n v="0"/>
    <n v="3.1665337380623493"/>
    <n v="0"/>
    <n v="0"/>
    <n v="0"/>
    <n v="19.011025009107506"/>
    <n v="90.055359472866826"/>
    <n v="6.2386398138235073"/>
    <n v="0"/>
    <n v="0"/>
    <n v="0"/>
    <n v="0"/>
    <n v="0"/>
    <n v="0.48933174726053852"/>
    <m/>
    <n v="0.11186753506275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241655023344223"/>
    <n v="0"/>
    <n v="0"/>
    <n v="0"/>
    <n v="0"/>
    <n v="0"/>
    <m/>
    <m/>
    <m/>
    <m/>
    <m/>
    <m/>
    <m/>
    <m/>
    <m/>
    <n v="7.1628053161579297"/>
    <m/>
    <m/>
    <m/>
    <m/>
    <m/>
    <m/>
    <m/>
    <m/>
    <m/>
    <m/>
    <m/>
    <m/>
    <n v="99.547500000000014"/>
    <n v="-20.479259999999982"/>
    <m/>
    <m/>
    <m/>
    <m/>
    <n v="-16.467359999999992"/>
    <n v="0"/>
    <n v="31"/>
    <n v="-0.46482682587769375"/>
    <n v="0"/>
    <n v="0"/>
    <n v="0"/>
    <n v="0"/>
    <n v="0"/>
    <n v="0"/>
    <n v="0"/>
    <n v="-0.10171240355052547"/>
    <n v="0"/>
    <n v="0"/>
    <n v="0"/>
    <n v="0"/>
    <n v="0"/>
    <n v="0"/>
    <n v="0"/>
    <n v="0"/>
    <n v="-0.31216406863930635"/>
    <m/>
    <n v="0"/>
    <n v="0"/>
    <n v="0"/>
    <n v="0"/>
    <n v="-4.1700021838317503E-2"/>
    <n v="-9.2503318495437414E-3"/>
    <n v="0"/>
    <n v="0"/>
    <m/>
    <m/>
    <m/>
    <n v="90.055359472866826"/>
    <n v="0"/>
    <n v="0"/>
    <n v="-16.467359999999985"/>
    <n v="0"/>
    <n v="0"/>
    <n v="0"/>
    <n v="-16.00229415083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41"/>
    <s v="Regular"/>
    <s v="Branca"/>
    <s v="B3"/>
    <s v="Industrial"/>
    <s v="Não se aplica"/>
    <s v="Não se aplica"/>
    <s v="Não se aplica"/>
    <s v="Fora ponta"/>
    <s v="CATIVO"/>
    <x v="1"/>
    <n v="0"/>
    <n v="0"/>
    <n v="33.966000000000001"/>
    <n v="33.966000000000001"/>
    <n v="33.966000000000001"/>
    <n v="33.966000000000001"/>
    <m/>
    <n v="509.72"/>
    <n v="119.97"/>
    <m/>
    <n v="21388.050540000004"/>
    <n v="21388.050540000004"/>
    <n v="19046.774160000001"/>
    <n v="0"/>
    <n v="2068.3554797504953"/>
    <n v="0"/>
    <n v="0"/>
    <n v="0"/>
    <n v="2483.5710594590182"/>
    <n v="11764.703266624801"/>
    <n v="4075.0315368524862"/>
    <n v="0"/>
    <n v="0"/>
    <n v="0"/>
    <n v="0"/>
    <n v="0"/>
    <n v="319.62773322022025"/>
    <m/>
    <n v="73.0710133834918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3.65779715944211"/>
    <n v="0"/>
    <n v="0"/>
    <n v="0"/>
    <n v="0"/>
    <n v="0"/>
    <m/>
    <m/>
    <m/>
    <m/>
    <m/>
    <m/>
    <m/>
    <m/>
    <m/>
    <n v="4678.6893340119286"/>
    <m/>
    <m/>
    <m/>
    <m/>
    <m/>
    <m/>
    <m/>
    <m/>
    <m/>
    <m/>
    <m/>
    <m/>
    <n v="19049.017199999998"/>
    <n v="-2339.0633400000006"/>
    <m/>
    <m/>
    <m/>
    <m/>
    <n v="-2341.2763800000002"/>
    <n v="0"/>
    <n v="31"/>
    <n v="-250.47109939546135"/>
    <n v="0"/>
    <n v="0"/>
    <n v="0"/>
    <n v="0"/>
    <n v="0"/>
    <n v="0"/>
    <n v="0"/>
    <n v="-13.287551919216185"/>
    <n v="0"/>
    <n v="0"/>
    <n v="0"/>
    <n v="0"/>
    <n v="0"/>
    <n v="0"/>
    <n v="0"/>
    <n v="0"/>
    <n v="-203.90316837312821"/>
    <m/>
    <n v="0"/>
    <n v="0"/>
    <n v="0"/>
    <n v="0"/>
    <n v="-27.23813349539023"/>
    <n v="-6.0422456077231175"/>
    <n v="0"/>
    <n v="0"/>
    <m/>
    <m/>
    <m/>
    <n v="11764.703266624801"/>
    <n v="0"/>
    <n v="0"/>
    <n v="-2341.2763800000012"/>
    <n v="0"/>
    <n v="0"/>
    <n v="0"/>
    <n v="-2090.5168040164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42"/>
    <s v="Regular"/>
    <s v="Branca"/>
    <s v="B3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974.01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43"/>
    <s v="Regular"/>
    <s v="Branca"/>
    <s v="B3"/>
    <s v="Industrial"/>
    <s v="Não se aplica"/>
    <s v="Não se aplica"/>
    <s v="Não se aplica"/>
    <s v="Intermediário"/>
    <s v="CATIVO"/>
    <x v="1"/>
    <n v="0"/>
    <n v="0"/>
    <n v="0.33"/>
    <n v="0.33"/>
    <n v="0.33"/>
    <n v="0.33"/>
    <m/>
    <n v="1348.63"/>
    <n v="119.97"/>
    <m/>
    <n v="484.63800000000009"/>
    <n v="484.63800000000009"/>
    <n v="421.01400000000001"/>
    <n v="0"/>
    <n v="20.095310260780295"/>
    <n v="0"/>
    <n v="0"/>
    <n v="0"/>
    <n v="72.36795862339396"/>
    <n v="342.9030682736439"/>
    <n v="39.591368049264574"/>
    <n v="0"/>
    <n v="0"/>
    <n v="0"/>
    <n v="0"/>
    <n v="0"/>
    <n v="3.1053745499226486"/>
    <m/>
    <n v="0.709928587898260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648964571222963"/>
    <n v="0"/>
    <n v="0"/>
    <n v="0"/>
    <n v="0"/>
    <n v="0"/>
    <m/>
    <m/>
    <m/>
    <m/>
    <m/>
    <m/>
    <m/>
    <m/>
    <m/>
    <n v="45.456264506386873"/>
    <m/>
    <m/>
    <m/>
    <m/>
    <m/>
    <m/>
    <m/>
    <m/>
    <m/>
    <m/>
    <m/>
    <m/>
    <n v="421.01400000000001"/>
    <n v="-63.654000000000053"/>
    <m/>
    <m/>
    <m/>
    <m/>
    <n v="-63.624000000000066"/>
    <n v="0"/>
    <n v="31"/>
    <n v="-2.6915615842139857"/>
    <n v="0"/>
    <n v="0"/>
    <n v="0"/>
    <n v="0"/>
    <n v="0"/>
    <n v="0"/>
    <n v="0"/>
    <n v="-0.38718159636849236"/>
    <n v="0"/>
    <n v="0"/>
    <n v="0"/>
    <n v="0"/>
    <n v="0"/>
    <n v="0"/>
    <n v="0"/>
    <n v="0"/>
    <n v="-1.981041204826365"/>
    <m/>
    <n v="0"/>
    <n v="0"/>
    <n v="0"/>
    <n v="0"/>
    <n v="-0.26463475397393799"/>
    <n v="-5.8704029045181461E-2"/>
    <n v="0"/>
    <n v="0"/>
    <m/>
    <m/>
    <m/>
    <n v="342.9030682736439"/>
    <n v="0"/>
    <n v="0"/>
    <n v="-63.62400000000008"/>
    <n v="0"/>
    <n v="0"/>
    <n v="0"/>
    <n v="-60.931806789252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44"/>
    <s v="Regular"/>
    <s v="Convencional"/>
    <s v="B3"/>
    <s v="Comercial"/>
    <s v="Não se aplica"/>
    <s v="Não se aplica"/>
    <s v="Não se aplica"/>
    <s v="Não se aplica"/>
    <s v="CATIVO"/>
    <x v="1"/>
    <n v="0"/>
    <n v="0"/>
    <n v="96.47"/>
    <n v="96.47"/>
    <n v="96.47"/>
    <n v="96.47"/>
    <m/>
    <n v="707.13"/>
    <n v="119.97"/>
    <m/>
    <n v="79790.337"/>
    <n v="79790.337"/>
    <n v="70329.524099999995"/>
    <n v="0"/>
    <n v="5874.5290329014388"/>
    <n v="0"/>
    <n v="0"/>
    <n v="0"/>
    <n v="10374.307666078297"/>
    <n v="49138.243657599582"/>
    <n v="11573.876593068342"/>
    <n v="0"/>
    <n v="0"/>
    <n v="0"/>
    <n v="0"/>
    <n v="0"/>
    <n v="907.80449342738757"/>
    <m/>
    <n v="207.53579052892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4.5047309654178"/>
    <n v="0"/>
    <n v="0"/>
    <n v="0"/>
    <n v="26444.98"/>
    <n v="277"/>
    <m/>
    <m/>
    <m/>
    <m/>
    <m/>
    <m/>
    <m/>
    <m/>
    <m/>
    <n v="13288.38132403376"/>
    <m/>
    <m/>
    <m/>
    <m/>
    <m/>
    <m/>
    <m/>
    <m/>
    <m/>
    <m/>
    <m/>
    <m/>
    <n v="70329.524099999995"/>
    <n v="-9460.8428999999887"/>
    <m/>
    <m/>
    <m/>
    <m/>
    <n v="-9460.8129000000044"/>
    <n v="0"/>
    <n v="31"/>
    <n v="-729.15149528396068"/>
    <n v="0"/>
    <n v="0"/>
    <n v="0"/>
    <n v="0"/>
    <n v="0"/>
    <n v="0"/>
    <n v="0"/>
    <n v="-55.504412170466821"/>
    <n v="0"/>
    <n v="0"/>
    <n v="0"/>
    <n v="0"/>
    <n v="0"/>
    <n v="0"/>
    <n v="0"/>
    <n v="0"/>
    <n v="-579.12437887757369"/>
    <m/>
    <n v="0"/>
    <n v="0"/>
    <n v="0"/>
    <n v="0"/>
    <n v="-77.361559745047884"/>
    <n v="-17.161144490874705"/>
    <n v="0"/>
    <n v="0"/>
    <m/>
    <m/>
    <m/>
    <n v="49138.243657599582"/>
    <n v="0"/>
    <n v="0"/>
    <n v="-9460.8129000000044"/>
    <n v="0"/>
    <n v="0"/>
    <n v="0"/>
    <n v="-8731.5694886658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45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0.69199999999999995"/>
    <n v="0.69199999999999995"/>
    <n v="0.69199999999999995"/>
    <n v="0.69199999999999995"/>
    <m/>
    <n v="707.13"/>
    <n v="119.97"/>
    <m/>
    <n v="572.3531999999999"/>
    <n v="572.3531999999999"/>
    <n v="504.48875999999996"/>
    <n v="0"/>
    <n v="42.13925666806049"/>
    <n v="0"/>
    <n v="0"/>
    <n v="0"/>
    <n v="74.417133875051121"/>
    <n v="352.47916047536967"/>
    <n v="83.021899060882063"/>
    <n v="0"/>
    <n v="0"/>
    <n v="0"/>
    <n v="0"/>
    <n v="0"/>
    <n v="6.5118763289287047"/>
    <m/>
    <n v="1.4886987358351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29851014645039"/>
    <n v="0"/>
    <n v="0"/>
    <n v="0"/>
    <n v="2451.23"/>
    <n v="6"/>
    <m/>
    <m/>
    <m/>
    <m/>
    <m/>
    <m/>
    <m/>
    <m/>
    <m/>
    <n v="95.32040920733246"/>
    <m/>
    <m/>
    <m/>
    <m/>
    <m/>
    <m/>
    <m/>
    <m/>
    <m/>
    <m/>
    <m/>
    <m/>
    <n v="503.03069999999991"/>
    <n v="-69.352499999999964"/>
    <m/>
    <m/>
    <m/>
    <m/>
    <n v="-67.86444000000003"/>
    <n v="0"/>
    <n v="31"/>
    <n v="-5.230360057390925"/>
    <n v="0"/>
    <n v="0"/>
    <n v="0"/>
    <n v="0"/>
    <n v="0"/>
    <n v="0"/>
    <n v="0"/>
    <n v="-0.39814505257554345"/>
    <n v="0"/>
    <n v="0"/>
    <n v="0"/>
    <n v="0"/>
    <n v="0"/>
    <n v="0"/>
    <n v="0"/>
    <n v="0"/>
    <n v="-4.1541833749692287"/>
    <m/>
    <n v="0"/>
    <n v="0"/>
    <n v="0"/>
    <n v="0"/>
    <n v="-0.55493105984837854"/>
    <n v="-0.1231005699977743"/>
    <n v="0"/>
    <n v="0"/>
    <m/>
    <m/>
    <m/>
    <n v="352.47916047536967"/>
    <n v="0"/>
    <n v="0"/>
    <n v="-67.864440000000002"/>
    <n v="0"/>
    <n v="0"/>
    <n v="0"/>
    <n v="-62.633420609067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46"/>
    <s v="Regular"/>
    <s v="Convencional"/>
    <s v="B2"/>
    <s v="Rural"/>
    <s v="Não se aplica"/>
    <s v="Não se aplica"/>
    <s v="Não se aplica"/>
    <s v="Não se aplica"/>
    <s v="CATIVO"/>
    <x v="1"/>
    <n v="0"/>
    <n v="0"/>
    <n v="293.82499999999999"/>
    <n v="293.82499999999999"/>
    <n v="293.82499999999999"/>
    <n v="293.82499999999999"/>
    <m/>
    <n v="707.13"/>
    <n v="119.97"/>
    <m/>
    <n v="243022.65749999997"/>
    <n v="243022.65749999997"/>
    <n v="214207.23974999995"/>
    <n v="0"/>
    <n v="17892.437992041727"/>
    <n v="0"/>
    <n v="0"/>
    <n v="0"/>
    <n v="31597.708613926152"/>
    <n v="149663.56839114954"/>
    <n v="35251.314294167154"/>
    <n v="0"/>
    <n v="0"/>
    <n v="0"/>
    <n v="0"/>
    <n v="0"/>
    <n v="2764.9596276697639"/>
    <m/>
    <n v="632.10535557335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1.9793985271472"/>
    <n v="0"/>
    <n v="0"/>
    <n v="0"/>
    <n v="49464.57"/>
    <n v="711"/>
    <m/>
    <m/>
    <m/>
    <m/>
    <m/>
    <n v="25703.810999999972"/>
    <m/>
    <m/>
    <m/>
    <n v="40473.2936926943"/>
    <m/>
    <m/>
    <m/>
    <m/>
    <m/>
    <m/>
    <m/>
    <m/>
    <m/>
    <m/>
    <m/>
    <m/>
    <n v="188506.63649999999"/>
    <n v="-25356.858000000007"/>
    <m/>
    <m/>
    <m/>
    <m/>
    <n v="-28815.417750000015"/>
    <n v="0"/>
    <n v="31"/>
    <n v="-2220.8244853509968"/>
    <n v="0"/>
    <n v="0"/>
    <n v="0"/>
    <n v="0"/>
    <n v="0"/>
    <n v="0"/>
    <n v="0"/>
    <n v="-169.05342496099911"/>
    <n v="0"/>
    <n v="0"/>
    <n v="0"/>
    <n v="0"/>
    <n v="0"/>
    <n v="0"/>
    <n v="0"/>
    <n v="0"/>
    <n v="-1763.8770666912333"/>
    <m/>
    <n v="0"/>
    <n v="0"/>
    <n v="0"/>
    <n v="0"/>
    <n v="-235.625171473916"/>
    <n v="-52.268822224849828"/>
    <n v="0"/>
    <n v="0"/>
    <m/>
    <m/>
    <m/>
    <n v="149663.56839114954"/>
    <n v="0"/>
    <n v="0"/>
    <n v="-28815.417750000022"/>
    <n v="0"/>
    <n v="0"/>
    <n v="0"/>
    <n v="-26594.313309912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47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19.876000000000001"/>
    <n v="-19.876000000000001"/>
    <n v="-19.876000000000001"/>
    <n v="-19.876000000000001"/>
    <m/>
    <n v="707.13"/>
    <n v="119.97"/>
    <m/>
    <n v="-16439.439600000002"/>
    <n v="-16439.439600000002"/>
    <n v="-14490.200280000001"/>
    <n v="0"/>
    <n v="-1210.3466264947549"/>
    <n v="0"/>
    <n v="0"/>
    <n v="0"/>
    <n v="-2137.4493539024802"/>
    <n v="-10124.097967642267"/>
    <n v="-2384.6000949914624"/>
    <n v="0"/>
    <n v="0"/>
    <n v="0"/>
    <n v="0"/>
    <n v="0"/>
    <n v="-187.03765016443202"/>
    <m/>
    <n v="-42.7592139789873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53.24449085382656"/>
    <n v="0"/>
    <n v="0"/>
    <n v="0"/>
    <n v="-5085.3900000000003"/>
    <n v="0"/>
    <m/>
    <m/>
    <m/>
    <m/>
    <m/>
    <n v="-1738.7524799999985"/>
    <m/>
    <m/>
    <m/>
    <n v="-2737.8445858452887"/>
    <m/>
    <m/>
    <m/>
    <m/>
    <m/>
    <m/>
    <m/>
    <m/>
    <m/>
    <m/>
    <m/>
    <m/>
    <n v="-12754.013999999999"/>
    <n v="1712.9013599999998"/>
    <m/>
    <m/>
    <m/>
    <m/>
    <n v="1949.239320000001"/>
    <n v="0"/>
    <n v="31"/>
    <n v="150.22924349812456"/>
    <n v="0"/>
    <n v="0"/>
    <n v="0"/>
    <n v="0"/>
    <n v="0"/>
    <n v="0"/>
    <n v="0"/>
    <n v="11.435738533224594"/>
    <n v="0"/>
    <n v="0"/>
    <n v="0"/>
    <n v="0"/>
    <n v="0"/>
    <n v="0"/>
    <n v="0"/>
    <n v="0"/>
    <n v="119.31871208220855"/>
    <m/>
    <n v="0"/>
    <n v="0"/>
    <n v="0"/>
    <n v="0"/>
    <n v="15.939031424199982"/>
    <n v="3.5357614584909811"/>
    <n v="0"/>
    <n v="0"/>
    <m/>
    <m/>
    <m/>
    <n v="-10124.097967642267"/>
    <n v="0"/>
    <n v="0"/>
    <n v="1949.2393200000006"/>
    <n v="0"/>
    <n v="0"/>
    <n v="0"/>
    <n v="1798.991138765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48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16.452999999999999"/>
    <n v="16.452999999999999"/>
    <n v="16.452999999999999"/>
    <n v="16.452999999999999"/>
    <m/>
    <n v="707.13"/>
    <n v="119.97"/>
    <m/>
    <n v="13608.2763"/>
    <n v="13608.2763"/>
    <n v="11994.730589999999"/>
    <n v="0"/>
    <n v="1001.9034536988429"/>
    <n v="0"/>
    <n v="0"/>
    <n v="0"/>
    <n v="1769.3426353269019"/>
    <n v="8380.5485943659787"/>
    <n v="1973.9296318622726"/>
    <n v="0"/>
    <n v="0"/>
    <n v="0"/>
    <n v="0"/>
    <n v="0"/>
    <n v="154.82644687841616"/>
    <m/>
    <n v="35.395318353606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2.4095194213125"/>
    <n v="0"/>
    <n v="0"/>
    <n v="0"/>
    <n v="4847.01"/>
    <n v="12"/>
    <m/>
    <m/>
    <m/>
    <m/>
    <m/>
    <n v="1439.3084399999987"/>
    <m/>
    <m/>
    <m/>
    <n v="2266.3391512835851"/>
    <m/>
    <m/>
    <m/>
    <m/>
    <m/>
    <m/>
    <m/>
    <m/>
    <m/>
    <m/>
    <m/>
    <m/>
    <n v="10553.497499999999"/>
    <n v="-1422.0130800000006"/>
    <m/>
    <m/>
    <m/>
    <m/>
    <n v="-1613.5457100000008"/>
    <n v="0"/>
    <n v="31"/>
    <n v="-124.35710119111718"/>
    <n v="0"/>
    <n v="0"/>
    <n v="0"/>
    <n v="0"/>
    <n v="0"/>
    <n v="0"/>
    <n v="0"/>
    <n v="-9.4663013728691112"/>
    <n v="0"/>
    <n v="0"/>
    <n v="0"/>
    <n v="0"/>
    <n v="0"/>
    <n v="0"/>
    <n v="0"/>
    <n v="0"/>
    <n v="-98.76991194850973"/>
    <m/>
    <n v="0"/>
    <n v="0"/>
    <n v="0"/>
    <n v="0"/>
    <n v="-13.194047294343022"/>
    <n v="-2.9268405753950617"/>
    <n v="0"/>
    <n v="0"/>
    <m/>
    <m/>
    <m/>
    <n v="8380.5485943659787"/>
    <n v="0"/>
    <n v="0"/>
    <n v="-1613.5457100000003"/>
    <n v="0"/>
    <n v="0"/>
    <n v="0"/>
    <n v="-1489.1729324869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49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24.074999999999999"/>
    <n v="24.074999999999999"/>
    <n v="24.074999999999999"/>
    <n v="24.074999999999999"/>
    <m/>
    <n v="707.13"/>
    <n v="119.97"/>
    <m/>
    <n v="19912.432499999999"/>
    <n v="19912.432499999999"/>
    <n v="17551.397249999998"/>
    <n v="0"/>
    <n v="1466.0442258432895"/>
    <n v="0"/>
    <n v="0"/>
    <n v="0"/>
    <n v="2589.0065000604855"/>
    <n v="12262.912989081682"/>
    <n v="2888.3702599577105"/>
    <n v="0"/>
    <n v="0"/>
    <n v="0"/>
    <n v="0"/>
    <n v="0"/>
    <n v="226.55118875572049"/>
    <m/>
    <n v="51.792517435304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7.87085516733111"/>
    <n v="0"/>
    <n v="0"/>
    <n v="0"/>
    <n v="6580.5"/>
    <n v="81"/>
    <m/>
    <m/>
    <m/>
    <m/>
    <m/>
    <m/>
    <m/>
    <m/>
    <m/>
    <n v="3316.2411151250417"/>
    <m/>
    <m/>
    <m/>
    <m/>
    <m/>
    <m/>
    <m/>
    <m/>
    <m/>
    <m/>
    <m/>
    <m/>
    <n v="17555.042399999998"/>
    <n v="-2357.4200999999957"/>
    <m/>
    <m/>
    <m/>
    <m/>
    <n v="-2361.0352500000013"/>
    <n v="0"/>
    <n v="31"/>
    <n v="-181.96664506024172"/>
    <n v="0"/>
    <n v="0"/>
    <n v="0"/>
    <n v="0"/>
    <n v="0"/>
    <n v="0"/>
    <n v="0"/>
    <n v="-13.851650492422323"/>
    <n v="0"/>
    <n v="0"/>
    <n v="0"/>
    <n v="0"/>
    <n v="0"/>
    <n v="0"/>
    <n v="0"/>
    <n v="0"/>
    <n v="-144.52596062483258"/>
    <m/>
    <n v="0"/>
    <n v="0"/>
    <n v="0"/>
    <n v="0"/>
    <n v="-19.306308187644106"/>
    <n v="-4.2827257553416374"/>
    <n v="0"/>
    <n v="0"/>
    <m/>
    <m/>
    <m/>
    <n v="12262.912989081682"/>
    <n v="0"/>
    <n v="0"/>
    <n v="-2361.035249999999"/>
    <n v="0"/>
    <n v="0"/>
    <n v="0"/>
    <n v="-2179.0456664209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50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83.29"/>
    <n v="83.29"/>
    <n v="83.29"/>
    <n v="83.29"/>
    <m/>
    <n v="388.92"/>
    <n v="65.989999999999995"/>
    <m/>
    <n v="37889.4539"/>
    <n v="37889.4539"/>
    <n v="33396.791300000004"/>
    <n v="0"/>
    <n v="2789.5639860339879"/>
    <n v="0"/>
    <n v="0"/>
    <n v="0"/>
    <n v="4926.3174772386583"/>
    <n v="23333.661996815681"/>
    <n v="5495.9417413720721"/>
    <n v="0"/>
    <n v="0"/>
    <n v="0"/>
    <n v="0"/>
    <n v="0"/>
    <n v="431.0777437717623"/>
    <m/>
    <n v="98.549920143410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4.14537652285935"/>
    <n v="0"/>
    <n v="0"/>
    <n v="0"/>
    <n v="14982.57"/>
    <n v="2"/>
    <m/>
    <m/>
    <m/>
    <m/>
    <m/>
    <m/>
    <m/>
    <m/>
    <m/>
    <n v="6310.087117894931"/>
    <m/>
    <m/>
    <m/>
    <m/>
    <m/>
    <m/>
    <m/>
    <m/>
    <m/>
    <m/>
    <m/>
    <m/>
    <n v="33396.791300000004"/>
    <n v="-4492.6925999999949"/>
    <m/>
    <m/>
    <m/>
    <m/>
    <n v="-4492.6626000000006"/>
    <n v="0"/>
    <n v="31"/>
    <n v="-346.24303330789007"/>
    <n v="0"/>
    <n v="0"/>
    <n v="0"/>
    <n v="0"/>
    <n v="0"/>
    <n v="0"/>
    <n v="0"/>
    <n v="-26.356684661803229"/>
    <n v="0"/>
    <n v="0"/>
    <n v="0"/>
    <n v="0"/>
    <n v="0"/>
    <n v="0"/>
    <n v="0"/>
    <n v="0"/>
    <n v="-275.0015365833151"/>
    <m/>
    <n v="0"/>
    <n v="0"/>
    <n v="0"/>
    <n v="0"/>
    <n v="-36.735714430814994"/>
    <n v="-8.1490976319556268"/>
    <n v="0"/>
    <n v="0"/>
    <m/>
    <m/>
    <m/>
    <n v="23333.661996815681"/>
    <n v="0"/>
    <n v="0"/>
    <n v="-4492.6625999999997"/>
    <n v="0"/>
    <n v="0"/>
    <n v="0"/>
    <n v="-4146.2509846691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51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4.6639999999999997"/>
    <n v="4.3841599999999996"/>
    <n v="4.6639999999999997"/>
    <n v="4.3841599999999996"/>
    <m/>
    <n v="707.13"/>
    <n v="119.97"/>
    <m/>
    <n v="3857.5944"/>
    <n v="3857.5944"/>
    <n v="3400.1959199999992"/>
    <n v="0"/>
    <n v="284.01371835236148"/>
    <n v="0"/>
    <n v="0"/>
    <n v="0"/>
    <n v="501.56287918098042"/>
    <n v="2375.6687925680985"/>
    <n v="559.55800176293917"/>
    <n v="0"/>
    <n v="0"/>
    <n v="0"/>
    <n v="0"/>
    <n v="0"/>
    <n v="43.889293638906764"/>
    <m/>
    <n v="10.033657375628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890536593995108"/>
    <n v="0"/>
    <n v="0"/>
    <n v="0"/>
    <n v="1276.9100000000001"/>
    <n v="7"/>
    <m/>
    <m/>
    <m/>
    <m/>
    <n v="204.01175520000007"/>
    <m/>
    <m/>
    <m/>
    <m/>
    <n v="642.44853835693425"/>
    <m/>
    <m/>
    <m/>
    <m/>
    <m/>
    <m/>
    <m/>
    <m/>
    <m/>
    <m/>
    <m/>
    <m/>
    <n v="3193.1513999999997"/>
    <n v="-433.0173360000008"/>
    <m/>
    <m/>
    <m/>
    <m/>
    <n v="-457.39848000000018"/>
    <n v="0"/>
    <n v="31"/>
    <n v="-35.252022120912443"/>
    <n v="0"/>
    <n v="0"/>
    <n v="0"/>
    <n v="0"/>
    <n v="0"/>
    <n v="0"/>
    <n v="0"/>
    <n v="-2.6834516260294095"/>
    <n v="0"/>
    <n v="0"/>
    <n v="0"/>
    <n v="0"/>
    <n v="0"/>
    <n v="0"/>
    <n v="0"/>
    <n v="0"/>
    <n v="-27.998715694879309"/>
    <m/>
    <n v="0"/>
    <n v="0"/>
    <n v="0"/>
    <n v="0"/>
    <n v="-3.7401711894983265"/>
    <n v="-0.82968361050523143"/>
    <n v="0"/>
    <n v="0"/>
    <m/>
    <m/>
    <m/>
    <n v="2375.6687925680985"/>
    <n v="0"/>
    <n v="0"/>
    <n v="-457.39848000000029"/>
    <n v="0"/>
    <n v="0"/>
    <n v="0"/>
    <n v="-422.14201404724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52"/>
    <s v="Regular"/>
    <s v="Azul"/>
    <s v="A4"/>
    <s v="Serviço público"/>
    <s v="Água, esgoto e saneamento"/>
    <s v="Não se aplica"/>
    <s v="Não se aplica"/>
    <s v="Ponta"/>
    <s v="CATIVO"/>
    <x v="1"/>
    <n v="101"/>
    <n v="94.94"/>
    <n v="4.5910000000000002"/>
    <n v="4.3155400000000004"/>
    <n v="4.5910000000000002"/>
    <n v="4.3155400000000004"/>
    <n v="134.72"/>
    <n v="72.13"/>
    <n v="119.97"/>
    <n v="13606.72"/>
    <n v="881.93110000000001"/>
    <n v="14488.651099999999"/>
    <n v="12584.11191"/>
    <n v="0"/>
    <n v="243.22450116454783"/>
    <n v="0"/>
    <n v="0"/>
    <n v="0"/>
    <n v="3136.7946718783346"/>
    <n v="10470.363840809992"/>
    <n v="550.79991125507161"/>
    <n v="0"/>
    <n v="0"/>
    <n v="0"/>
    <n v="0"/>
    <n v="0"/>
    <n v="43.202347147560239"/>
    <m/>
    <n v="3.8598005778104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877563435949575"/>
    <n v="0"/>
    <n v="0"/>
    <n v="0"/>
    <n v="0"/>
    <n v="0"/>
    <m/>
    <m/>
    <m/>
    <m/>
    <n v="755.0467146000002"/>
    <m/>
    <m/>
    <m/>
    <m/>
    <n v="591.67747469102119"/>
    <m/>
    <m/>
    <m/>
    <m/>
    <m/>
    <m/>
    <m/>
    <m/>
    <m/>
    <m/>
    <m/>
    <m/>
    <n v="11829.894799999998"/>
    <n v="-1789.4672339999997"/>
    <m/>
    <m/>
    <m/>
    <m/>
    <n v="-1904.53919"/>
    <n v="0"/>
    <n v="31"/>
    <n v="-44.760835888600923"/>
    <n v="0"/>
    <n v="0"/>
    <n v="0"/>
    <n v="0"/>
    <n v="0"/>
    <n v="0"/>
    <n v="0"/>
    <n v="-16.782415749190477"/>
    <n v="0"/>
    <n v="0"/>
    <n v="0"/>
    <n v="0"/>
    <n v="0"/>
    <n v="0"/>
    <n v="0"/>
    <n v="0"/>
    <n v="-23.977622269943225"/>
    <m/>
    <n v="0"/>
    <n v="0"/>
    <n v="0"/>
    <n v="0"/>
    <n v="-3.6816307742252974"/>
    <n v="-0.31916709524150244"/>
    <n v="0"/>
    <n v="0"/>
    <m/>
    <m/>
    <n v="10470.363840809992"/>
    <n v="0"/>
    <n v="0"/>
    <n v="0"/>
    <n v="-1904.5391899999995"/>
    <n v="0"/>
    <n v="0"/>
    <n v="0"/>
    <n v="-1860.5204956996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53"/>
    <s v="Regular"/>
    <s v="Azul"/>
    <s v="A4"/>
    <s v="Serviço público"/>
    <s v="Água, esgoto e saneamento"/>
    <s v="Não se aplica"/>
    <s v="Não se aplica"/>
    <s v="Fora ponta"/>
    <s v="CATIVO"/>
    <x v="1"/>
    <n v="101"/>
    <n v="94.94"/>
    <n v="39.823999999999998"/>
    <n v="37.434559999999998"/>
    <n v="39.823999999999998"/>
    <n v="37.434559999999998"/>
    <n v="46.29"/>
    <n v="72.13"/>
    <n v="119.97"/>
    <n v="4675.29"/>
    <n v="7650.1903999999995"/>
    <n v="12325.4804"/>
    <n v="11563.812239999999"/>
    <n v="0"/>
    <n v="2109.8175853576458"/>
    <n v="0"/>
    <n v="0"/>
    <n v="0"/>
    <n v="1809.2142497251059"/>
    <n v="2865.7162592474206"/>
    <n v="4777.8383066482183"/>
    <n v="0"/>
    <n v="0"/>
    <n v="0"/>
    <n v="0"/>
    <n v="0"/>
    <n v="374.75283659430164"/>
    <m/>
    <n v="33.48131087142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.58681905320316"/>
    <n v="0"/>
    <n v="0"/>
    <n v="0"/>
    <n v="0"/>
    <n v="0"/>
    <m/>
    <m/>
    <m/>
    <m/>
    <n v="693.82873440000014"/>
    <m/>
    <m/>
    <m/>
    <m/>
    <n v="5132.4251257014212"/>
    <m/>
    <m/>
    <m/>
    <m/>
    <m/>
    <m/>
    <m/>
    <m/>
    <m/>
    <m/>
    <m/>
    <m/>
    <n v="10869.1353"/>
    <n v="-716.84627600000022"/>
    <m/>
    <m/>
    <m/>
    <m/>
    <n v="-761.66815999999972"/>
    <n v="0"/>
    <n v="31"/>
    <n v="-252.37459088966716"/>
    <n v="0"/>
    <n v="0"/>
    <n v="0"/>
    <n v="0"/>
    <n v="0"/>
    <n v="0"/>
    <n v="0"/>
    <n v="-9.6796216821167036"/>
    <n v="0"/>
    <n v="0"/>
    <n v="0"/>
    <n v="0"/>
    <n v="0"/>
    <n v="0"/>
    <n v="0"/>
    <n v="0"/>
    <n v="-207.99059666264861"/>
    <m/>
    <n v="0"/>
    <n v="0"/>
    <n v="0"/>
    <n v="0"/>
    <n v="-31.935801340176056"/>
    <n v="-2.7685712047261148"/>
    <n v="0"/>
    <n v="0"/>
    <m/>
    <m/>
    <n v="2865.7162592474206"/>
    <n v="0"/>
    <n v="0"/>
    <n v="0"/>
    <n v="-761.66816000000017"/>
    <n v="0"/>
    <n v="0"/>
    <n v="0"/>
    <n v="-509.22049283600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54"/>
    <s v="Regular"/>
    <s v="Azul"/>
    <s v="A4"/>
    <s v="Serviço público"/>
    <s v="Água, esgoto e saneamento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668.6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55"/>
    <s v="Regular"/>
    <s v="Convencional"/>
    <s v="B1"/>
    <s v="Residencial"/>
    <s v="Residencial"/>
    <s v="Não se aplica"/>
    <s v="Não se aplica"/>
    <s v="Não se aplica"/>
    <s v="CATIVO"/>
    <x v="2"/>
    <n v="0"/>
    <n v="0"/>
    <n v="518.81799999999998"/>
    <n v="518.81799999999998"/>
    <n v="518.81799999999998"/>
    <n v="518.81799999999998"/>
    <m/>
    <n v="707.13"/>
    <n v="119.97"/>
    <m/>
    <n v="429114.36779999995"/>
    <n v="429114.36779999995"/>
    <n v="378233.88653999992"/>
    <n v="0"/>
    <n v="31593.35963296215"/>
    <n v="0"/>
    <n v="0"/>
    <n v="0"/>
    <n v="55793.278269922361"/>
    <n v="264266.66629987041"/>
    <n v="62244.589056313169"/>
    <n v="0"/>
    <n v="0"/>
    <n v="0"/>
    <n v="0"/>
    <n v="0"/>
    <n v="4882.1945855811173"/>
    <m/>
    <n v="1116.1325155036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20.6480305796213"/>
    <n v="0"/>
    <n v="0"/>
    <n v="0"/>
    <n v="89434.54"/>
    <n v="3127"/>
    <m/>
    <m/>
    <m/>
    <m/>
    <m/>
    <m/>
    <m/>
    <m/>
    <m/>
    <n v="71465.237086892797"/>
    <m/>
    <m/>
    <m/>
    <m/>
    <m/>
    <m/>
    <m/>
    <m/>
    <m/>
    <m/>
    <m/>
    <m/>
    <n v="378235.34460000001"/>
    <n v="-50879.053199999966"/>
    <m/>
    <m/>
    <m/>
    <m/>
    <n v="-50880.481260000022"/>
    <n v="0"/>
    <n v="30"/>
    <n v="-3921.3944281148142"/>
    <n v="0"/>
    <n v="0"/>
    <n v="0"/>
    <n v="0"/>
    <n v="0"/>
    <n v="0"/>
    <n v="0"/>
    <n v="-298.50407498141431"/>
    <n v="0"/>
    <n v="0"/>
    <n v="0"/>
    <n v="0"/>
    <n v="0"/>
    <n v="0"/>
    <n v="0"/>
    <n v="0"/>
    <n v="-3114.5449569866832"/>
    <m/>
    <n v="0"/>
    <n v="0"/>
    <n v="0"/>
    <n v="0"/>
    <n v="-416.05234480985018"/>
    <n v="-92.293051336857388"/>
    <n v="0"/>
    <n v="0"/>
    <m/>
    <m/>
    <m/>
    <n v="264266.66629987041"/>
    <n v="0"/>
    <n v="0"/>
    <n v="-50880.48126000003"/>
    <n v="0"/>
    <n v="0"/>
    <n v="0"/>
    <n v="-46958.592505137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56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0.615"/>
    <n v="-10.615"/>
    <n v="-10.615"/>
    <n v="-10.615"/>
    <m/>
    <n v="707.13"/>
    <n v="119.97"/>
    <m/>
    <n v="-8779.6664999999994"/>
    <n v="-8779.6664999999994"/>
    <n v="-7738.6534499999998"/>
    <n v="0"/>
    <n v="-646.3991467217661"/>
    <n v="0"/>
    <n v="0"/>
    <n v="0"/>
    <n v="-1141.5287226642597"/>
    <n v="-5406.8877000665452"/>
    <n v="-1273.5223389180103"/>
    <n v="0"/>
    <n v="0"/>
    <n v="0"/>
    <n v="0"/>
    <n v="0"/>
    <n v="-99.88954802251186"/>
    <m/>
    <n v="-22.8360362440607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8.65416937076719"/>
    <n v="0"/>
    <n v="0"/>
    <n v="0"/>
    <n v="-3057.47"/>
    <n v="0"/>
    <m/>
    <m/>
    <m/>
    <m/>
    <m/>
    <m/>
    <m/>
    <m/>
    <m/>
    <n v="-1462.1765082887775"/>
    <m/>
    <m/>
    <m/>
    <m/>
    <m/>
    <m/>
    <m/>
    <m/>
    <m/>
    <m/>
    <m/>
    <m/>
    <n v="-7742.2985999999992"/>
    <n v="1037.3378999999995"/>
    <m/>
    <m/>
    <m/>
    <m/>
    <n v="1041.0130500000005"/>
    <n v="0"/>
    <n v="30"/>
    <n v="80.231606949716934"/>
    <n v="0"/>
    <n v="0"/>
    <n v="0"/>
    <n v="0"/>
    <n v="0"/>
    <n v="0"/>
    <n v="0"/>
    <n v="6.1073840073545398"/>
    <n v="0"/>
    <n v="0"/>
    <n v="0"/>
    <n v="0"/>
    <n v="0"/>
    <n v="0"/>
    <n v="0"/>
    <n v="0"/>
    <n v="63.723492088581452"/>
    <m/>
    <n v="0"/>
    <n v="0"/>
    <n v="0"/>
    <n v="0"/>
    <n v="8.5124179194950074"/>
    <n v="1.8883129342866667"/>
    <n v="0"/>
    <n v="0"/>
    <m/>
    <m/>
    <m/>
    <n v="-5406.8877000665452"/>
    <n v="0"/>
    <n v="0"/>
    <n v="1041.0130500000005"/>
    <n v="0"/>
    <n v="0"/>
    <n v="0"/>
    <n v="960.771329140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57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4.08"/>
    <n v="4.08"/>
    <n v="4.08"/>
    <n v="4.08"/>
    <m/>
    <n v="636.83000000000004"/>
    <n v="119.97"/>
    <m/>
    <n v="3087.7440000000006"/>
    <n v="3087.7440000000006"/>
    <n v="2715.3624"/>
    <n v="0"/>
    <n v="0"/>
    <n v="0"/>
    <n v="0"/>
    <n v="0"/>
    <n v="438.75998007255578"/>
    <n v="2078.2008305484223"/>
    <n v="489.49327769999832"/>
    <n v="0"/>
    <n v="0"/>
    <n v="0"/>
    <n v="0"/>
    <n v="0"/>
    <n v="0"/>
    <m/>
    <n v="8.7772989049239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511447106239288"/>
    <n v="0"/>
    <n v="0"/>
    <n v="0"/>
    <n v="129.96"/>
    <n v="7"/>
    <m/>
    <m/>
    <m/>
    <m/>
    <m/>
    <m/>
    <m/>
    <n v="1764.9671999999998"/>
    <m/>
    <n v="562.00472480623762"/>
    <m/>
    <m/>
    <m/>
    <m/>
    <m/>
    <m/>
    <m/>
    <m/>
    <m/>
    <m/>
    <m/>
    <m/>
    <n v="950.39520000000005"/>
    <n v="-130.34519999999986"/>
    <m/>
    <m/>
    <m/>
    <m/>
    <n v="-372.38160000000039"/>
    <n v="0"/>
    <n v="30"/>
    <n v="-3.0732400868485001"/>
    <n v="0"/>
    <n v="0"/>
    <n v="0"/>
    <n v="0"/>
    <n v="0"/>
    <n v="0"/>
    <n v="0"/>
    <n v="-2.3474448186535142"/>
    <n v="0"/>
    <n v="0"/>
    <n v="0"/>
    <n v="0"/>
    <n v="0"/>
    <n v="0"/>
    <n v="0"/>
    <n v="0"/>
    <n v="0"/>
    <m/>
    <n v="0"/>
    <n v="0"/>
    <n v="0"/>
    <n v="0"/>
    <n v="0"/>
    <n v="-0.72579526819496998"/>
    <n v="0"/>
    <n v="0"/>
    <m/>
    <m/>
    <m/>
    <n v="2078.2008305484223"/>
    <n v="0"/>
    <n v="0"/>
    <n v="-372.38160000000062"/>
    <n v="0"/>
    <n v="0"/>
    <n v="0"/>
    <n v="-369.28375156791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58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8.048"/>
    <n v="8.048"/>
    <n v="8.048"/>
    <n v="8.048"/>
    <m/>
    <n v="636.83000000000004"/>
    <n v="119.97"/>
    <m/>
    <n v="6090.7263999999996"/>
    <n v="6090.7263999999996"/>
    <n v="5356.1854399999993"/>
    <n v="0"/>
    <n v="0"/>
    <n v="0"/>
    <n v="0"/>
    <n v="0"/>
    <n v="865.47556853527669"/>
    <n v="4099.3530108464956"/>
    <n v="965.54948503176138"/>
    <n v="0"/>
    <n v="0"/>
    <n v="0"/>
    <n v="0"/>
    <n v="0"/>
    <n v="0"/>
    <m/>
    <n v="17.313652349712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03238389975829"/>
    <n v="0"/>
    <n v="0"/>
    <n v="0"/>
    <n v="445.58"/>
    <n v="31"/>
    <m/>
    <m/>
    <m/>
    <m/>
    <m/>
    <m/>
    <m/>
    <n v="2142.4580799999999"/>
    <m/>
    <n v="1108.5818689315197"/>
    <m/>
    <m/>
    <m/>
    <m/>
    <m/>
    <m/>
    <m/>
    <m/>
    <m/>
    <m/>
    <m/>
    <m/>
    <n v="3214.5259999999998"/>
    <n v="-439.93984000000091"/>
    <m/>
    <m/>
    <m/>
    <m/>
    <n v="-734.54096000000072"/>
    <n v="0"/>
    <n v="30"/>
    <n v="-6.0621167203323694"/>
    <n v="0"/>
    <n v="0"/>
    <n v="0"/>
    <n v="0"/>
    <n v="0"/>
    <n v="0"/>
    <n v="0"/>
    <n v="-4.6304499756184896"/>
    <n v="0"/>
    <n v="0"/>
    <n v="0"/>
    <n v="0"/>
    <n v="0"/>
    <n v="0"/>
    <n v="0"/>
    <n v="0"/>
    <n v="0"/>
    <m/>
    <n v="0"/>
    <n v="0"/>
    <n v="0"/>
    <n v="0"/>
    <n v="0"/>
    <n v="-1.4316667447139988"/>
    <n v="0"/>
    <n v="0"/>
    <m/>
    <m/>
    <m/>
    <n v="4099.3530108464956"/>
    <n v="0"/>
    <n v="0"/>
    <n v="-734.54096000000027"/>
    <n v="0"/>
    <n v="0"/>
    <n v="0"/>
    <n v="-728.43030211239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59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7.726"/>
    <n v="7.726"/>
    <n v="7.726"/>
    <n v="7.726"/>
    <m/>
    <n v="636.83000000000004"/>
    <n v="119.97"/>
    <m/>
    <n v="5847.0367999999999"/>
    <n v="5847.0367999999999"/>
    <n v="5141.8847799999994"/>
    <n v="0"/>
    <n v="0"/>
    <n v="0"/>
    <n v="0"/>
    <n v="0"/>
    <n v="830.84794265700145"/>
    <n v="3935.3381413767429"/>
    <n v="926.91790772308502"/>
    <n v="0"/>
    <n v="0"/>
    <n v="0"/>
    <n v="0"/>
    <n v="0"/>
    <n v="0"/>
    <m/>
    <n v="16.620934151824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.30966675068746"/>
    <n v="0"/>
    <n v="0"/>
    <n v="0"/>
    <n v="1093.95"/>
    <n v="67"/>
    <m/>
    <m/>
    <m/>
    <m/>
    <m/>
    <m/>
    <m/>
    <n v="514.08803999999964"/>
    <m/>
    <n v="1064.2275744737724"/>
    <m/>
    <m/>
    <m/>
    <m/>
    <m/>
    <m/>
    <m/>
    <m/>
    <m/>
    <m/>
    <m/>
    <m/>
    <n v="4630.1927000000005"/>
    <n v="-632.17042000000038"/>
    <m/>
    <m/>
    <m/>
    <m/>
    <n v="-705.15202000000079"/>
    <n v="0"/>
    <n v="30"/>
    <n v="-5.8195717919093113"/>
    <n v="0"/>
    <n v="0"/>
    <n v="0"/>
    <n v="0"/>
    <n v="0"/>
    <n v="0"/>
    <n v="0"/>
    <n v="-4.4451859482639975"/>
    <n v="0"/>
    <n v="0"/>
    <n v="0"/>
    <n v="0"/>
    <n v="0"/>
    <n v="0"/>
    <n v="0"/>
    <n v="0"/>
    <n v="0"/>
    <m/>
    <n v="0"/>
    <n v="0"/>
    <n v="0"/>
    <n v="0"/>
    <n v="0"/>
    <n v="-1.3743858436456691"/>
    <n v="0"/>
    <n v="0"/>
    <m/>
    <m/>
    <m/>
    <n v="3935.3381413767429"/>
    <n v="0"/>
    <n v="0"/>
    <n v="-705.15202000000045"/>
    <n v="0"/>
    <n v="0"/>
    <n v="0"/>
    <n v="-699.2858491700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60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2.2109999999999999"/>
    <n v="2.2109999999999999"/>
    <n v="2.2109999999999999"/>
    <n v="2.2109999999999999"/>
    <m/>
    <n v="636.83000000000004"/>
    <n v="119.97"/>
    <m/>
    <n v="1673.2848000000001"/>
    <n v="1673.2848000000001"/>
    <n v="1471.4868299999998"/>
    <n v="0"/>
    <n v="0"/>
    <n v="0"/>
    <n v="0"/>
    <n v="0"/>
    <n v="237.76919508343644"/>
    <n v="1126.2014794957258"/>
    <n v="265.26216593007257"/>
    <n v="0"/>
    <n v="0"/>
    <n v="0"/>
    <n v="0"/>
    <n v="0"/>
    <n v="0"/>
    <m/>
    <n v="4.7565215389183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294806262719376"/>
    <n v="0"/>
    <n v="0"/>
    <n v="0"/>
    <n v="561.11"/>
    <n v="31"/>
    <m/>
    <m/>
    <m/>
    <m/>
    <m/>
    <m/>
    <m/>
    <m/>
    <m/>
    <n v="304.55697219279193"/>
    <m/>
    <m/>
    <m/>
    <m/>
    <m/>
    <m/>
    <m/>
    <m/>
    <m/>
    <m/>
    <m/>
    <m/>
    <n v="1470.8212999999996"/>
    <n v="-202.49350000000049"/>
    <m/>
    <m/>
    <m/>
    <m/>
    <n v="-201.79797000000019"/>
    <n v="0"/>
    <n v="30"/>
    <n v="-1.6654249588289076"/>
    <n v="0"/>
    <n v="0"/>
    <n v="0"/>
    <n v="0"/>
    <n v="0"/>
    <n v="0"/>
    <n v="0"/>
    <n v="-1.2721079642261941"/>
    <n v="0"/>
    <n v="0"/>
    <n v="0"/>
    <n v="0"/>
    <n v="0"/>
    <n v="0"/>
    <n v="0"/>
    <n v="0"/>
    <n v="0"/>
    <m/>
    <n v="0"/>
    <n v="0"/>
    <n v="0"/>
    <n v="0"/>
    <n v="0"/>
    <n v="-0.3933169946027153"/>
    <n v="0"/>
    <n v="0"/>
    <m/>
    <m/>
    <m/>
    <n v="1126.2014794957258"/>
    <n v="0"/>
    <n v="0"/>
    <n v="-201.7979700000003"/>
    <n v="0"/>
    <n v="0"/>
    <n v="0"/>
    <n v="-200.1192094893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61"/>
    <s v="Regular"/>
    <s v="Convencional"/>
    <s v="B3"/>
    <s v="Industrial"/>
    <s v="Não se aplica"/>
    <s v="Não se aplica"/>
    <s v="Não se aplica"/>
    <s v="Não se aplica"/>
    <s v="CATIVO"/>
    <x v="2"/>
    <n v="0"/>
    <n v="0"/>
    <n v="132.26499999999999"/>
    <n v="132.26499999999999"/>
    <n v="132.26499999999999"/>
    <n v="132.26499999999999"/>
    <m/>
    <n v="707.13"/>
    <n v="119.97"/>
    <m/>
    <n v="109396.38149999999"/>
    <n v="109396.38149999999"/>
    <n v="96425.152949999989"/>
    <n v="0"/>
    <n v="8054.261247400319"/>
    <n v="0"/>
    <n v="0"/>
    <n v="0"/>
    <n v="14223.673716739358"/>
    <n v="67370.890405021331"/>
    <n v="15868.34028798781"/>
    <n v="0"/>
    <n v="0"/>
    <n v="0"/>
    <n v="0"/>
    <n v="0"/>
    <n v="1244.6435298349063"/>
    <m/>
    <n v="284.541529328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50.6682724281222"/>
    <n v="0"/>
    <n v="0"/>
    <n v="0"/>
    <n v="38401.67"/>
    <n v="68"/>
    <m/>
    <m/>
    <m/>
    <m/>
    <m/>
    <m/>
    <m/>
    <m/>
    <m/>
    <n v="18219.008560415932"/>
    <m/>
    <m/>
    <m/>
    <m/>
    <m/>
    <m/>
    <m/>
    <m/>
    <m/>
    <m/>
    <m/>
    <m/>
    <n v="96428.7981"/>
    <n v="-12967.613399999973"/>
    <m/>
    <m/>
    <m/>
    <m/>
    <n v="-12971.228550000005"/>
    <n v="0"/>
    <n v="30"/>
    <n v="-999.70169507342507"/>
    <n v="0"/>
    <n v="0"/>
    <n v="0"/>
    <n v="0"/>
    <n v="0"/>
    <n v="0"/>
    <n v="0"/>
    <n v="-76.099212975295814"/>
    <n v="0"/>
    <n v="0"/>
    <n v="0"/>
    <n v="0"/>
    <n v="0"/>
    <n v="0"/>
    <n v="0"/>
    <n v="0"/>
    <n v="-794.00731804957377"/>
    <m/>
    <n v="0"/>
    <n v="0"/>
    <n v="0"/>
    <n v="0"/>
    <n v="-106.06641131625133"/>
    <n v="-23.528752732305804"/>
    <n v="0"/>
    <n v="0"/>
    <m/>
    <m/>
    <m/>
    <n v="67370.890405021331"/>
    <n v="0"/>
    <n v="0"/>
    <n v="-12971.22855"/>
    <n v="0"/>
    <n v="0"/>
    <n v="0"/>
    <n v="-11971.400833610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62"/>
    <s v="Regular"/>
    <s v="Verde"/>
    <s v="A4"/>
    <s v="Industrial"/>
    <s v="Não se aplica"/>
    <s v="Não se aplica"/>
    <s v="Não se aplica"/>
    <s v="Ponta"/>
    <s v="CATIVO"/>
    <x v="2"/>
    <n v="0"/>
    <n v="0"/>
    <n v="90.867000000000004"/>
    <n v="90.867000000000004"/>
    <n v="90.867000000000004"/>
    <n v="90.867000000000004"/>
    <m/>
    <n v="3312.96"/>
    <n v="119.97"/>
    <m/>
    <n v="311940.05031000002"/>
    <n v="311940.05031000002"/>
    <n v="270766.39527000004"/>
    <n v="0"/>
    <n v="4814.0014696839398"/>
    <n v="0"/>
    <n v="0"/>
    <n v="0"/>
    <n v="67935.713421041088"/>
    <n v="226548.76941021753"/>
    <n v="10901.66315312886"/>
    <n v="0"/>
    <n v="0"/>
    <n v="0"/>
    <n v="0"/>
    <n v="0"/>
    <n v="855.0789976600646"/>
    <m/>
    <n v="76.394793967306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9.06590214211064"/>
    <n v="0"/>
    <n v="0"/>
    <n v="0"/>
    <n v="0"/>
    <n v="0"/>
    <m/>
    <m/>
    <m/>
    <m/>
    <m/>
    <m/>
    <m/>
    <m/>
    <m/>
    <n v="11710.729055270971"/>
    <m/>
    <m/>
    <m/>
    <m/>
    <m/>
    <m/>
    <m/>
    <m/>
    <m/>
    <m/>
    <m/>
    <m/>
    <n v="270775.33470000001"/>
    <n v="-41164.745610000042"/>
    <m/>
    <m/>
    <m/>
    <m/>
    <n v="-41173.655039999991"/>
    <n v="0"/>
    <n v="30"/>
    <n v="-917.22892824735027"/>
    <n v="0"/>
    <n v="0"/>
    <n v="0"/>
    <n v="0"/>
    <n v="0"/>
    <n v="0"/>
    <n v="0"/>
    <n v="-363.46828725239902"/>
    <n v="0"/>
    <n v="0"/>
    <n v="0"/>
    <n v="0"/>
    <n v="0"/>
    <n v="0"/>
    <n v="0"/>
    <n v="0"/>
    <n v="-474.57516941906579"/>
    <m/>
    <n v="0"/>
    <n v="0"/>
    <n v="0"/>
    <n v="0"/>
    <n v="-72.868382391969135"/>
    <n v="-6.3170891839053951"/>
    <n v="0"/>
    <n v="0"/>
    <m/>
    <m/>
    <m/>
    <n v="226548.76941021753"/>
    <n v="0"/>
    <n v="0"/>
    <n v="-41173.655040000012"/>
    <n v="0"/>
    <n v="0"/>
    <n v="0"/>
    <n v="-40256.349747883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63"/>
    <s v="Regular"/>
    <s v="Verde"/>
    <s v="A4"/>
    <s v="Industrial"/>
    <s v="Não se aplica"/>
    <s v="Não se aplica"/>
    <s v="Não se aplica"/>
    <s v="Fora ponta"/>
    <s v="CATIVO"/>
    <x v="2"/>
    <n v="0"/>
    <n v="0"/>
    <n v="2421.614"/>
    <n v="2421.614"/>
    <n v="2421.614"/>
    <n v="2421.614"/>
    <m/>
    <n v="72.13"/>
    <n v="119.97"/>
    <m/>
    <n v="465192.04940000002"/>
    <n v="465192.04940000002"/>
    <n v="450444.42014000006"/>
    <n v="0"/>
    <n v="128293.58683578421"/>
    <n v="0"/>
    <n v="0"/>
    <n v="0"/>
    <n v="0"/>
    <n v="0"/>
    <n v="290530.33680985385"/>
    <n v="0"/>
    <n v="0"/>
    <n v="0"/>
    <n v="0"/>
    <n v="0"/>
    <n v="22787.934804049652"/>
    <m/>
    <n v="2035.92836341405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61.681529597819"/>
    <n v="0"/>
    <n v="0"/>
    <n v="0"/>
    <n v="0"/>
    <n v="0"/>
    <m/>
    <m/>
    <m/>
    <m/>
    <m/>
    <m/>
    <m/>
    <m/>
    <m/>
    <n v="312092.01833945169"/>
    <m/>
    <m/>
    <m/>
    <m/>
    <m/>
    <m/>
    <m/>
    <m/>
    <m/>
    <m/>
    <m/>
    <m/>
    <n v="450443.67610000004"/>
    <n v="-14748.403300000005"/>
    <m/>
    <m/>
    <m/>
    <m/>
    <n v="-14747.629259999974"/>
    <n v="0"/>
    <n v="30"/>
    <n v="-14757.772578409349"/>
    <n v="0"/>
    <n v="0"/>
    <n v="0"/>
    <n v="0"/>
    <n v="0"/>
    <n v="0"/>
    <n v="0"/>
    <n v="0"/>
    <n v="0"/>
    <n v="0"/>
    <n v="0"/>
    <n v="0"/>
    <n v="0"/>
    <n v="0"/>
    <n v="0"/>
    <n v="0"/>
    <n v="-12647.472397213307"/>
    <m/>
    <n v="0"/>
    <n v="0"/>
    <n v="0"/>
    <n v="0"/>
    <n v="-1941.9491669995259"/>
    <n v="-168.3510141965055"/>
    <n v="0"/>
    <n v="0"/>
    <m/>
    <m/>
    <m/>
    <n v="0"/>
    <n v="0"/>
    <n v="0"/>
    <n v="-14747.629259999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64"/>
    <s v="Regular"/>
    <s v="Verde"/>
    <s v="A4"/>
    <s v="Industrial"/>
    <s v="Não se aplica"/>
    <s v="Não se aplica"/>
    <s v="Não se aplica"/>
    <s v="Não se aplica"/>
    <s v="CATIVO"/>
    <x v="2"/>
    <n v="10919"/>
    <n v="10919"/>
    <n v="0"/>
    <n v="0"/>
    <n v="0"/>
    <n v="0"/>
    <n v="46.29"/>
    <m/>
    <m/>
    <n v="505440.51"/>
    <m/>
    <n v="505440.51"/>
    <n v="449316.85"/>
    <n v="0"/>
    <n v="0"/>
    <n v="0"/>
    <n v="0"/>
    <n v="0"/>
    <n v="195592.18210642014"/>
    <n v="309809.463710124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8318.34"/>
    <n v="26"/>
    <m/>
    <m/>
    <m/>
    <m/>
    <m/>
    <m/>
    <m/>
    <m/>
    <m/>
    <n v="0"/>
    <m/>
    <m/>
    <m/>
    <m/>
    <m/>
    <m/>
    <m/>
    <m/>
    <m/>
    <m/>
    <m/>
    <m/>
    <n v="449316.85"/>
    <n v="-56123.690000000061"/>
    <m/>
    <m/>
    <m/>
    <m/>
    <n v="-56123.66"/>
    <n v="0"/>
    <n v="30"/>
    <n v="-1046.4533578914416"/>
    <n v="0"/>
    <n v="0"/>
    <n v="0"/>
    <n v="0"/>
    <m/>
    <m/>
    <m/>
    <n v="-1046.45335789144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9809.4637101246"/>
    <m/>
    <n v="0"/>
    <n v="0"/>
    <n v="-56123.660000000033"/>
    <m/>
    <n v="0"/>
    <m/>
    <n v="-55051.27288392387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65"/>
    <s v="Regular"/>
    <s v="Branca"/>
    <s v="B3"/>
    <s v="Industrial"/>
    <s v="Não se aplica"/>
    <s v="Não se aplica"/>
    <s v="Não se aplica"/>
    <s v="Ponta"/>
    <s v="CATIVO"/>
    <x v="2"/>
    <n v="0"/>
    <n v="0"/>
    <n v="0.14399999999999999"/>
    <n v="0.14399999999999999"/>
    <n v="0.14399999999999999"/>
    <n v="0.14399999999999999"/>
    <m/>
    <n v="2187.66"/>
    <n v="119.97"/>
    <m/>
    <n v="332.29872"/>
    <n v="332.29872"/>
    <n v="286.6968"/>
    <n v="0"/>
    <n v="8.7688626592495815"/>
    <n v="0"/>
    <n v="0"/>
    <n v="0"/>
    <n v="52.645915409836171"/>
    <n v="249.38407238640045"/>
    <n v="17.276233330588173"/>
    <n v="0"/>
    <n v="0"/>
    <n v="0"/>
    <n v="0"/>
    <n v="0"/>
    <n v="1.3550725308753375"/>
    <m/>
    <n v="0.3097870201737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592275449260926"/>
    <n v="0"/>
    <n v="0"/>
    <n v="0"/>
    <n v="0"/>
    <n v="0"/>
    <m/>
    <m/>
    <m/>
    <m/>
    <m/>
    <m/>
    <m/>
    <m/>
    <m/>
    <n v="19.835460875514265"/>
    <m/>
    <m/>
    <m/>
    <m/>
    <m/>
    <m/>
    <m/>
    <m/>
    <m/>
    <m/>
    <m/>
    <m/>
    <n v="278.733"/>
    <n v="-53.595719999999972"/>
    <m/>
    <m/>
    <m/>
    <m/>
    <n v="-45.601919999999971"/>
    <n v="0"/>
    <n v="30"/>
    <n v="-1.2872127485843663"/>
    <n v="0"/>
    <n v="0"/>
    <n v="0"/>
    <n v="0"/>
    <n v="0"/>
    <n v="0"/>
    <n v="0"/>
    <n v="-0.2816651175245326"/>
    <n v="0"/>
    <n v="0"/>
    <n v="0"/>
    <n v="0"/>
    <n v="0"/>
    <n v="0"/>
    <n v="0"/>
    <n v="0"/>
    <n v="-0.86445434392423159"/>
    <m/>
    <n v="0"/>
    <n v="0"/>
    <n v="0"/>
    <n v="0"/>
    <n v="-0.11547698355226399"/>
    <n v="-2.5616303583351874E-2"/>
    <n v="0"/>
    <n v="0"/>
    <m/>
    <m/>
    <m/>
    <n v="249.38407238640045"/>
    <n v="0"/>
    <n v="0"/>
    <n v="-45.601920000000007"/>
    <n v="0"/>
    <n v="0"/>
    <n v="0"/>
    <n v="-44.31404534076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66"/>
    <s v="Regular"/>
    <s v="Branca"/>
    <s v="B3"/>
    <s v="Industrial"/>
    <s v="Não se aplica"/>
    <s v="Não se aplica"/>
    <s v="Não se aplica"/>
    <s v="Fora ponta"/>
    <s v="CATIVO"/>
    <x v="2"/>
    <n v="0"/>
    <n v="0"/>
    <n v="34.052"/>
    <n v="34.052"/>
    <n v="34.052"/>
    <n v="34.052"/>
    <m/>
    <n v="509.72"/>
    <n v="119.97"/>
    <m/>
    <n v="21442.203880000001"/>
    <n v="21442.203880000001"/>
    <n v="19094.999520000001"/>
    <n v="0"/>
    <n v="2073.5924393942137"/>
    <n v="0"/>
    <n v="0"/>
    <n v="0"/>
    <n v="2489.8593215774154"/>
    <n v="11794.490833042093"/>
    <n v="4085.3492873138093"/>
    <n v="0"/>
    <n v="0"/>
    <n v="0"/>
    <n v="0"/>
    <n v="0"/>
    <n v="320.43701264838188"/>
    <m/>
    <n v="73.2560250760956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5.18622472099514"/>
    <n v="0"/>
    <n v="0"/>
    <n v="0"/>
    <n v="0"/>
    <n v="0"/>
    <m/>
    <m/>
    <m/>
    <m/>
    <m/>
    <m/>
    <m/>
    <m/>
    <m/>
    <n v="4690.5355120348049"/>
    <m/>
    <m/>
    <m/>
    <m/>
    <m/>
    <m/>
    <m/>
    <m/>
    <m/>
    <m/>
    <m/>
    <m/>
    <n v="19093.878000000001"/>
    <n v="-2348.3558799999955"/>
    <m/>
    <m/>
    <m/>
    <m/>
    <n v="-2347.2043600000002"/>
    <n v="0"/>
    <n v="30"/>
    <n v="-251.10527811971588"/>
    <n v="0"/>
    <n v="0"/>
    <n v="0"/>
    <n v="0"/>
    <n v="0"/>
    <n v="0"/>
    <n v="0"/>
    <n v="-13.321195252698544"/>
    <n v="0"/>
    <n v="0"/>
    <n v="0"/>
    <n v="0"/>
    <n v="0"/>
    <n v="0"/>
    <n v="0"/>
    <n v="0"/>
    <n v="-204.41943971741625"/>
    <m/>
    <n v="0"/>
    <n v="0"/>
    <n v="0"/>
    <n v="0"/>
    <n v="-27.307098916122811"/>
    <n v="-6.057544233474303"/>
    <n v="0"/>
    <n v="0"/>
    <m/>
    <m/>
    <m/>
    <n v="11794.490833042093"/>
    <n v="0"/>
    <n v="0"/>
    <n v="-2347.2043599999997"/>
    <n v="0"/>
    <n v="0"/>
    <n v="0"/>
    <n v="-2095.8098748857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67"/>
    <s v="Regular"/>
    <s v="Branca"/>
    <s v="B3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147.12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68"/>
    <s v="Regular"/>
    <s v="Branca"/>
    <s v="B3"/>
    <s v="Industrial"/>
    <s v="Não se aplica"/>
    <s v="Não se aplica"/>
    <s v="Não se aplica"/>
    <s v="Intermediário"/>
    <s v="CATIVO"/>
    <x v="2"/>
    <n v="0"/>
    <n v="0"/>
    <n v="0.14399999999999999"/>
    <n v="0.14399999999999999"/>
    <n v="0.14399999999999999"/>
    <n v="0.14399999999999999"/>
    <m/>
    <n v="1348.63"/>
    <n v="119.97"/>
    <m/>
    <n v="211.47839999999999"/>
    <n v="211.47839999999999"/>
    <n v="183.71519999999998"/>
    <n v="0"/>
    <n v="8.7688626592495815"/>
    <n v="0"/>
    <n v="0"/>
    <n v="0"/>
    <n v="31.57874558111736"/>
    <n v="149.63042979213549"/>
    <n v="17.276233330588173"/>
    <n v="0"/>
    <n v="0"/>
    <n v="0"/>
    <n v="0"/>
    <n v="0"/>
    <n v="1.3550725308753375"/>
    <m/>
    <n v="0.3097870201737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592275449260926"/>
    <n v="0"/>
    <n v="0"/>
    <n v="0"/>
    <n v="0"/>
    <n v="0"/>
    <m/>
    <m/>
    <m/>
    <m/>
    <m/>
    <m/>
    <m/>
    <m/>
    <m/>
    <n v="19.835460875514265"/>
    <m/>
    <m/>
    <m/>
    <m/>
    <m/>
    <m/>
    <m/>
    <m/>
    <m/>
    <m/>
    <m/>
    <m/>
    <n v="178.61200000000002"/>
    <n v="-32.896399999999943"/>
    <m/>
    <m/>
    <m/>
    <m/>
    <n v="-27.763200000000023"/>
    <n v="0"/>
    <n v="30"/>
    <n v="-1.17449960038428"/>
    <n v="0"/>
    <n v="0"/>
    <n v="0"/>
    <n v="0"/>
    <n v="0"/>
    <n v="0"/>
    <n v="0"/>
    <n v="-0.16895196932443213"/>
    <n v="0"/>
    <n v="0"/>
    <n v="0"/>
    <n v="0"/>
    <n v="0"/>
    <n v="0"/>
    <n v="0"/>
    <n v="0"/>
    <n v="-0.86445434392423159"/>
    <m/>
    <n v="0"/>
    <n v="0"/>
    <n v="0"/>
    <n v="0"/>
    <n v="-0.11547698355226399"/>
    <n v="-2.5616303583351874E-2"/>
    <n v="0"/>
    <n v="0"/>
    <m/>
    <m/>
    <m/>
    <n v="149.63042979213549"/>
    <n v="0"/>
    <n v="0"/>
    <n v="-27.763200000000012"/>
    <n v="0"/>
    <n v="0"/>
    <n v="0"/>
    <n v="-26.58842478076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69"/>
    <s v="Regular"/>
    <s v="Convencional"/>
    <s v="B3"/>
    <s v="Comercial"/>
    <s v="Não se aplica"/>
    <s v="Não se aplica"/>
    <s v="Não se aplica"/>
    <s v="Não se aplica"/>
    <s v="CATIVO"/>
    <x v="2"/>
    <n v="0"/>
    <n v="0"/>
    <n v="99.683000000000007"/>
    <n v="99.683000000000007"/>
    <n v="99.683000000000007"/>
    <n v="99.683000000000007"/>
    <m/>
    <n v="707.13"/>
    <n v="119.97"/>
    <m/>
    <n v="82447.809299999994"/>
    <n v="82447.809299999994"/>
    <n v="72671.897490000003"/>
    <n v="0"/>
    <n v="6070.1842809859454"/>
    <n v="0"/>
    <n v="0"/>
    <n v="0"/>
    <n v="10719.831150385437"/>
    <n v="50774.826811656472"/>
    <n v="11959.352549257092"/>
    <n v="0"/>
    <n v="0"/>
    <n v="0"/>
    <n v="0"/>
    <n v="0"/>
    <n v="938.03954927254358"/>
    <m/>
    <n v="214.447913416552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1.6074955615813"/>
    <n v="0"/>
    <n v="0"/>
    <n v="0"/>
    <n v="27651.56"/>
    <n v="278"/>
    <m/>
    <m/>
    <m/>
    <m/>
    <m/>
    <m/>
    <m/>
    <m/>
    <m/>
    <n v="13730.960044818672"/>
    <m/>
    <m/>
    <m/>
    <m/>
    <m/>
    <m/>
    <m/>
    <m/>
    <m/>
    <m/>
    <m/>
    <m/>
    <n v="72669.710399999996"/>
    <n v="-9778.1288999999815"/>
    <m/>
    <m/>
    <m/>
    <m/>
    <n v="-9775.9118100000051"/>
    <n v="0"/>
    <n v="30"/>
    <n v="-753.43638959667805"/>
    <n v="0"/>
    <n v="0"/>
    <n v="0"/>
    <n v="0"/>
    <n v="0"/>
    <n v="0"/>
    <n v="0"/>
    <n v="-57.353024965155782"/>
    <n v="0"/>
    <n v="0"/>
    <n v="0"/>
    <n v="0"/>
    <n v="0"/>
    <n v="0"/>
    <n v="0"/>
    <n v="0"/>
    <n v="-598.41251642638326"/>
    <m/>
    <n v="0"/>
    <n v="0"/>
    <n v="0"/>
    <n v="0"/>
    <n v="-79.938139940557676"/>
    <n v="-17.732708264578235"/>
    <n v="0"/>
    <n v="0"/>
    <m/>
    <m/>
    <m/>
    <n v="50774.826811656472"/>
    <n v="0"/>
    <n v="0"/>
    <n v="-9775.9118099999978"/>
    <n v="0"/>
    <n v="0"/>
    <n v="0"/>
    <n v="-9022.380443025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70"/>
    <s v="Regular"/>
    <s v="Convencional"/>
    <s v="B2"/>
    <s v="Rural"/>
    <s v="Não se aplica"/>
    <s v="Não se aplica"/>
    <s v="Não se aplica"/>
    <s v="Não se aplica"/>
    <s v="CATIVO"/>
    <x v="2"/>
    <n v="0"/>
    <n v="0"/>
    <n v="265.36500000000001"/>
    <n v="265.36500000000001"/>
    <n v="265.36500000000001"/>
    <n v="265.36500000000001"/>
    <m/>
    <n v="707.13"/>
    <n v="119.97"/>
    <m/>
    <n v="219483.39150000003"/>
    <n v="219483.39150000003"/>
    <n v="193459.04595"/>
    <n v="0"/>
    <n v="16159.369719248372"/>
    <n v="0"/>
    <n v="0"/>
    <n v="0"/>
    <n v="28537.142674498471"/>
    <n v="135167.09887217698"/>
    <n v="31836.858734524525"/>
    <n v="0"/>
    <n v="0"/>
    <n v="0"/>
    <n v="0"/>
    <n v="0"/>
    <n v="2497.1445983037079"/>
    <m/>
    <n v="570.879393114005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16.1765101341152"/>
    <n v="0"/>
    <n v="0"/>
    <n v="0"/>
    <n v="43842.62"/>
    <n v="712"/>
    <m/>
    <m/>
    <m/>
    <m/>
    <m/>
    <n v="23214.130199999981"/>
    <m/>
    <m/>
    <m/>
    <n v="36553.03524465864"/>
    <m/>
    <m/>
    <m/>
    <m/>
    <m/>
    <m/>
    <m/>
    <m/>
    <m/>
    <m/>
    <m/>
    <m/>
    <n v="170248.12350000002"/>
    <n v="-22900.475400000025"/>
    <m/>
    <m/>
    <m/>
    <m/>
    <n v="-26024.345550000013"/>
    <n v="0"/>
    <n v="30"/>
    <n v="-2005.7145905051439"/>
    <n v="0"/>
    <n v="0"/>
    <n v="0"/>
    <n v="0"/>
    <n v="0"/>
    <n v="0"/>
    <n v="0"/>
    <n v="-152.6788466426442"/>
    <n v="0"/>
    <n v="0"/>
    <n v="0"/>
    <n v="0"/>
    <n v="0"/>
    <n v="0"/>
    <n v="0"/>
    <n v="0"/>
    <n v="-1593.0272706628748"/>
    <m/>
    <n v="0"/>
    <n v="0"/>
    <n v="0"/>
    <n v="0"/>
    <n v="-212.80242875240583"/>
    <n v="-47.206044447195609"/>
    <n v="0"/>
    <n v="0"/>
    <m/>
    <m/>
    <m/>
    <n v="135167.09887217698"/>
    <n v="0"/>
    <n v="0"/>
    <n v="-26024.345550000027"/>
    <n v="0"/>
    <n v="0"/>
    <n v="0"/>
    <n v="-24018.378121279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71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27.227"/>
    <n v="27.227"/>
    <n v="27.227"/>
    <n v="27.227"/>
    <m/>
    <n v="707.13"/>
    <n v="119.97"/>
    <m/>
    <n v="22519.451700000001"/>
    <n v="22519.451700000001"/>
    <n v="19849.29981"/>
    <n v="0"/>
    <n v="1657.9848862735305"/>
    <n v="0"/>
    <n v="0"/>
    <n v="0"/>
    <n v="2927.970092508695"/>
    <n v="13868.425003270073"/>
    <n v="3266.527811749474"/>
    <n v="0"/>
    <n v="0"/>
    <n v="0"/>
    <n v="0"/>
    <n v="0"/>
    <n v="256.21222082043624"/>
    <m/>
    <n v="58.57341109910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3.88950253960229"/>
    <n v="0"/>
    <n v="0"/>
    <n v="0"/>
    <n v="7425.54"/>
    <n v="81"/>
    <m/>
    <m/>
    <m/>
    <m/>
    <m/>
    <m/>
    <m/>
    <m/>
    <m/>
    <n v="3750.4173142890763"/>
    <m/>
    <m/>
    <m/>
    <m/>
    <m/>
    <m/>
    <m/>
    <m/>
    <m/>
    <m/>
    <m/>
    <m/>
    <n v="19851.4869"/>
    <n v="-2667.9947999999968"/>
    <m/>
    <m/>
    <m/>
    <m/>
    <n v="-2670.1518900000015"/>
    <n v="0"/>
    <n v="30"/>
    <n v="-205.79048162222716"/>
    <n v="0"/>
    <n v="0"/>
    <n v="0"/>
    <n v="0"/>
    <n v="0"/>
    <n v="0"/>
    <n v="0"/>
    <n v="-15.665166685656459"/>
    <n v="0"/>
    <n v="0"/>
    <n v="0"/>
    <n v="0"/>
    <n v="0"/>
    <n v="0"/>
    <n v="0"/>
    <n v="0"/>
    <n v="-163.44790570850751"/>
    <m/>
    <n v="0"/>
    <n v="0"/>
    <n v="0"/>
    <n v="0"/>
    <n v="-21.833971049843683"/>
    <n v="-4.8434381782216747"/>
    <n v="0"/>
    <n v="0"/>
    <m/>
    <m/>
    <m/>
    <n v="13868.425003270073"/>
    <n v="0"/>
    <n v="0"/>
    <n v="-2670.151890000001"/>
    <n v="0"/>
    <n v="0"/>
    <n v="0"/>
    <n v="-2464.3354666518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72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83.29"/>
    <n v="83.29"/>
    <n v="83.29"/>
    <n v="83.29"/>
    <m/>
    <n v="388.92"/>
    <n v="65.989999999999995"/>
    <m/>
    <n v="37889.4539"/>
    <n v="37889.4539"/>
    <n v="33396.791300000004"/>
    <n v="0"/>
    <n v="2789.5639860339879"/>
    <n v="0"/>
    <n v="0"/>
    <n v="0"/>
    <n v="4926.3174772386583"/>
    <n v="23333.661996815681"/>
    <n v="5495.9417413720721"/>
    <n v="0"/>
    <n v="0"/>
    <n v="0"/>
    <n v="0"/>
    <n v="0"/>
    <n v="431.0777437717623"/>
    <m/>
    <n v="98.549920143410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4.14537652285935"/>
    <n v="0"/>
    <n v="0"/>
    <n v="0"/>
    <n v="15074.63"/>
    <n v="2"/>
    <m/>
    <m/>
    <m/>
    <m/>
    <m/>
    <m/>
    <m/>
    <m/>
    <m/>
    <n v="6310.087117894931"/>
    <m/>
    <m/>
    <m/>
    <m/>
    <m/>
    <m/>
    <m/>
    <m/>
    <m/>
    <m/>
    <m/>
    <m/>
    <n v="33396.791300000004"/>
    <n v="-4492.6925999999949"/>
    <m/>
    <m/>
    <m/>
    <m/>
    <n v="-4492.6626000000006"/>
    <n v="0"/>
    <n v="30"/>
    <n v="-346.24303330789007"/>
    <n v="0"/>
    <n v="0"/>
    <n v="0"/>
    <n v="0"/>
    <n v="0"/>
    <n v="0"/>
    <n v="0"/>
    <n v="-26.356684661803229"/>
    <n v="0"/>
    <n v="0"/>
    <n v="0"/>
    <n v="0"/>
    <n v="0"/>
    <n v="0"/>
    <n v="0"/>
    <n v="0"/>
    <n v="-275.0015365833151"/>
    <m/>
    <n v="0"/>
    <n v="0"/>
    <n v="0"/>
    <n v="0"/>
    <n v="-36.735714430814994"/>
    <n v="-8.1490976319556268"/>
    <n v="0"/>
    <n v="0"/>
    <m/>
    <m/>
    <m/>
    <n v="23333.661996815681"/>
    <n v="0"/>
    <n v="0"/>
    <n v="-4492.6625999999997"/>
    <n v="0"/>
    <n v="0"/>
    <n v="0"/>
    <n v="-4146.2509846691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73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4.6029999999999998"/>
    <n v="4.3268199999999997"/>
    <n v="4.6029999999999998"/>
    <n v="4.3268199999999997"/>
    <m/>
    <n v="707.13"/>
    <n v="119.97"/>
    <m/>
    <n v="3807.1413000000002"/>
    <n v="3807.1413000000002"/>
    <n v="3355.7250899999999"/>
    <n v="0"/>
    <n v="280.29913069809601"/>
    <n v="0"/>
    <n v="0"/>
    <n v="0"/>
    <n v="495.00298732205249"/>
    <n v="2344.5976526996046"/>
    <n v="552.23959736595395"/>
    <n v="0"/>
    <n v="0"/>
    <n v="0"/>
    <n v="0"/>
    <n v="0"/>
    <n v="43.315269858466515"/>
    <m/>
    <n v="9.9024281518051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806419370102802"/>
    <n v="0"/>
    <n v="0"/>
    <n v="0"/>
    <n v="1269.26"/>
    <n v="7"/>
    <m/>
    <m/>
    <m/>
    <m/>
    <n v="201.34350540000005"/>
    <m/>
    <m/>
    <m/>
    <m/>
    <n v="634.0460167360568"/>
    <m/>
    <m/>
    <m/>
    <m/>
    <m/>
    <m/>
    <m/>
    <m/>
    <m/>
    <m/>
    <m/>
    <m/>
    <n v="3156.6998999999996"/>
    <n v="-422.042922000001"/>
    <m/>
    <m/>
    <m/>
    <m/>
    <n v="-451.41621000000021"/>
    <n v="0"/>
    <n v="30"/>
    <n v="-34.790964370188703"/>
    <n v="0"/>
    <n v="0"/>
    <n v="0"/>
    <n v="0"/>
    <n v="0"/>
    <n v="0"/>
    <n v="0"/>
    <n v="-2.648355024574073"/>
    <n v="0"/>
    <n v="0"/>
    <n v="0"/>
    <n v="0"/>
    <n v="0"/>
    <n v="0"/>
    <n v="0"/>
    <n v="0"/>
    <n v="-27.63252322974472"/>
    <m/>
    <n v="0"/>
    <n v="0"/>
    <n v="0"/>
    <n v="0"/>
    <n v="-3.6912538561879842"/>
    <n v="-0.81883225968172724"/>
    <n v="0"/>
    <n v="0"/>
    <m/>
    <m/>
    <m/>
    <n v="2344.5976526996046"/>
    <n v="0"/>
    <n v="0"/>
    <n v="-451.41621000000032"/>
    <n v="0"/>
    <n v="0"/>
    <n v="0"/>
    <n v="-416.62085991840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74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4.5609999999999999"/>
    <n v="4.2873400000000004"/>
    <n v="4.5609999999999999"/>
    <n v="4.2873400000000004"/>
    <m/>
    <n v="3312.96"/>
    <n v="119.97"/>
    <m/>
    <n v="15657.593730000001"/>
    <n v="15657.593730000001"/>
    <n v="13590.913410000001"/>
    <n v="0"/>
    <n v="241.63514480755882"/>
    <n v="0"/>
    <n v="0"/>
    <n v="0"/>
    <n v="3409.9814994813119"/>
    <n v="11371.443288322516"/>
    <n v="547.20069597786573"/>
    <n v="0"/>
    <n v="0"/>
    <n v="0"/>
    <n v="0"/>
    <n v="0"/>
    <n v="42.920040370294544"/>
    <m/>
    <n v="3.8345786180338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61044801380222"/>
    <n v="0"/>
    <n v="0"/>
    <n v="0"/>
    <n v="0"/>
    <n v="0"/>
    <m/>
    <m/>
    <m/>
    <m/>
    <n v="815.45480459999874"/>
    <m/>
    <m/>
    <m/>
    <m/>
    <n v="587.8111439916679"/>
    <m/>
    <m/>
    <m/>
    <m/>
    <m/>
    <m/>
    <m/>
    <m/>
    <m/>
    <m/>
    <m/>
    <m/>
    <n v="12783.384900000001"/>
    <n v="-1934.7832062000016"/>
    <m/>
    <m/>
    <m/>
    <m/>
    <n v="-2066.6803199999995"/>
    <n v="0"/>
    <n v="30"/>
    <n v="-46.039608898016013"/>
    <n v="0"/>
    <n v="0"/>
    <n v="0"/>
    <n v="0"/>
    <n v="0"/>
    <n v="0"/>
    <n v="0"/>
    <n v="-18.244014418415645"/>
    <n v="0"/>
    <n v="0"/>
    <n v="0"/>
    <n v="0"/>
    <n v="0"/>
    <n v="0"/>
    <n v="0"/>
    <n v="0"/>
    <n v="-23.820939920106952"/>
    <m/>
    <n v="0"/>
    <n v="0"/>
    <n v="0"/>
    <n v="0"/>
    <n v="-3.6575730693185804"/>
    <n v="-0.31708149017566845"/>
    <n v="0"/>
    <n v="0"/>
    <m/>
    <m/>
    <m/>
    <n v="11371.443288322516"/>
    <n v="0"/>
    <n v="0"/>
    <n v="-2066.6803199999995"/>
    <n v="0"/>
    <n v="0"/>
    <n v="0"/>
    <n v="-2020.6368780755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75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40.524999999999999"/>
    <n v="38.093499999999999"/>
    <n v="40.524999999999999"/>
    <n v="38.093499999999999"/>
    <m/>
    <n v="72.13"/>
    <n v="119.97"/>
    <m/>
    <n v="7784.8524999999991"/>
    <n v="7784.8524999999991"/>
    <n v="7538.0552499999994"/>
    <n v="0"/>
    <n v="2146.9555455659552"/>
    <n v="0"/>
    <n v="0"/>
    <n v="0"/>
    <n v="0"/>
    <n v="0"/>
    <n v="4861.9399702922628"/>
    <n v="0"/>
    <n v="0"/>
    <n v="0"/>
    <n v="0"/>
    <n v="0"/>
    <n v="381.34940495641007"/>
    <m/>
    <n v="34.070663998207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0.82841608404624"/>
    <n v="0"/>
    <n v="0"/>
    <n v="0"/>
    <n v="0"/>
    <n v="0"/>
    <m/>
    <m/>
    <m/>
    <m/>
    <n v="452.28331499999996"/>
    <m/>
    <m/>
    <m/>
    <m/>
    <n v="5222.7683863763086"/>
    <m/>
    <m/>
    <m/>
    <m/>
    <m/>
    <m/>
    <m/>
    <m/>
    <m/>
    <m/>
    <m/>
    <m/>
    <n v="7085.1209000000017"/>
    <n v="-232.67044999999871"/>
    <m/>
    <m/>
    <m/>
    <m/>
    <n v="-246.79724999999956"/>
    <n v="0"/>
    <n v="30"/>
    <n v="-246.96699545841693"/>
    <n v="0"/>
    <n v="0"/>
    <n v="0"/>
    <n v="0"/>
    <n v="0"/>
    <n v="0"/>
    <n v="0"/>
    <n v="0"/>
    <n v="0"/>
    <n v="0"/>
    <n v="0"/>
    <n v="0"/>
    <n v="0"/>
    <n v="0"/>
    <n v="0"/>
    <n v="0"/>
    <n v="-211.65174090382266"/>
    <m/>
    <n v="0"/>
    <n v="0"/>
    <n v="0"/>
    <n v="0"/>
    <n v="-32.49794971149646"/>
    <n v="-2.8173048430977765"/>
    <n v="0"/>
    <n v="0"/>
    <m/>
    <m/>
    <m/>
    <n v="0"/>
    <n v="0"/>
    <n v="0"/>
    <n v="-246.79724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76"/>
    <s v="Regular"/>
    <s v="Verde"/>
    <s v="A4"/>
    <s v="Serviço público"/>
    <s v="Água, esgoto e saneamento"/>
    <s v="Não se aplica"/>
    <s v="Não se aplica"/>
    <s v="Não se aplica"/>
    <s v="CATIVO"/>
    <x v="2"/>
    <n v="100"/>
    <n v="94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043.84"/>
    <n v="1"/>
    <m/>
    <m/>
    <m/>
    <m/>
    <n v="246.89999999999998"/>
    <m/>
    <m/>
    <m/>
    <m/>
    <n v="0"/>
    <m/>
    <m/>
    <m/>
    <m/>
    <m/>
    <m/>
    <m/>
    <m/>
    <m/>
    <m/>
    <m/>
    <m/>
    <n v="3868.1"/>
    <n v="-483.19000000000096"/>
    <m/>
    <m/>
    <m/>
    <m/>
    <n v="-514"/>
    <n v="0"/>
    <n v="30"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77"/>
    <s v="Regular"/>
    <s v="Convencional"/>
    <s v="B1"/>
    <s v="Residencial"/>
    <s v="Residencial"/>
    <s v="Não se aplica"/>
    <s v="Não se aplica"/>
    <s v="Não se aplica"/>
    <s v="CATIVO"/>
    <x v="3"/>
    <n v="0"/>
    <n v="0"/>
    <n v="532.57899999999995"/>
    <n v="532.57899999999995"/>
    <n v="532.57899999999995"/>
    <n v="532.57899999999995"/>
    <m/>
    <n v="707.13"/>
    <n v="119.97"/>
    <m/>
    <n v="440496.09089999995"/>
    <n v="440496.09089999995"/>
    <n v="388266.06836999994"/>
    <n v="0"/>
    <n v="32431.334070836689"/>
    <n v="0"/>
    <n v="0"/>
    <n v="0"/>
    <n v="57273.125349770016"/>
    <n v="271276.00983643334"/>
    <n v="63895.549103967496"/>
    <n v="0"/>
    <n v="0"/>
    <n v="0"/>
    <n v="0"/>
    <n v="0"/>
    <n v="5011.6887043128909"/>
    <m/>
    <n v="1145.736537618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65.2142128416217"/>
    <n v="0"/>
    <n v="0"/>
    <n v="0"/>
    <n v="94212.99"/>
    <n v="3118"/>
    <m/>
    <m/>
    <m/>
    <m/>
    <m/>
    <m/>
    <m/>
    <m/>
    <m/>
    <n v="73360.763316809112"/>
    <m/>
    <m/>
    <m/>
    <m/>
    <m/>
    <m/>
    <m/>
    <m/>
    <m/>
    <m/>
    <m/>
    <m/>
    <n v="388266.79739999998"/>
    <n v="-52229.323499999999"/>
    <m/>
    <m/>
    <m/>
    <m/>
    <n v="-52230.022530000024"/>
    <n v="0"/>
    <m/>
    <n v="-4025.4045216838131"/>
    <n v="0"/>
    <n v="0"/>
    <n v="0"/>
    <n v="0"/>
    <n v="0"/>
    <n v="0"/>
    <n v="0"/>
    <n v="-306.42152305727359"/>
    <n v="0"/>
    <n v="0"/>
    <n v="0"/>
    <n v="0"/>
    <n v="0"/>
    <n v="0"/>
    <n v="0"/>
    <n v="0"/>
    <n v="-3197.1543752279431"/>
    <m/>
    <n v="0"/>
    <n v="0"/>
    <n v="0"/>
    <n v="0"/>
    <n v="-427.08761405056339"/>
    <n v="-94.741009348041416"/>
    <n v="0"/>
    <n v="0"/>
    <m/>
    <m/>
    <m/>
    <n v="271276.00983643334"/>
    <n v="0"/>
    <n v="0"/>
    <n v="-52230.022530000017"/>
    <n v="0"/>
    <n v="0"/>
    <n v="0"/>
    <n v="-48204.110570168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78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37.978000000000002"/>
    <n v="-37.978000000000002"/>
    <n v="-37.978000000000002"/>
    <n v="-37.978000000000002"/>
    <m/>
    <n v="707.13"/>
    <n v="119.97"/>
    <m/>
    <n v="-31411.603800000001"/>
    <n v="-31411.603800000001"/>
    <n v="-27687.101339999997"/>
    <n v="0"/>
    <n v="-2312.6657366179211"/>
    <n v="0"/>
    <n v="0"/>
    <n v="0"/>
    <n v="-4084.1241478420402"/>
    <n v="-19344.586064354899"/>
    <n v="-4556.3665932574841"/>
    <n v="0"/>
    <n v="0"/>
    <n v="0"/>
    <n v="0"/>
    <n v="0"/>
    <n v="-357.3815595665526"/>
    <m/>
    <n v="-81.7020239733337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74.96072014724416"/>
    <n v="0"/>
    <n v="0"/>
    <n v="0"/>
    <n v="-11010.87"/>
    <n v="0"/>
    <m/>
    <m/>
    <m/>
    <m/>
    <m/>
    <m/>
    <m/>
    <m/>
    <m/>
    <n v="-5231.3273134047286"/>
    <m/>
    <m/>
    <m/>
    <m/>
    <m/>
    <m/>
    <m/>
    <m/>
    <m/>
    <m/>
    <m/>
    <m/>
    <n v="-27688.559399999995"/>
    <n v="3723.0144000000109"/>
    <m/>
    <m/>
    <m/>
    <m/>
    <n v="3724.502460000002"/>
    <n v="0"/>
    <m/>
    <n v="287.05002060634797"/>
    <n v="0"/>
    <n v="0"/>
    <n v="0"/>
    <n v="0"/>
    <n v="0"/>
    <n v="0"/>
    <n v="0"/>
    <n v="21.850798853633023"/>
    <n v="0"/>
    <n v="0"/>
    <n v="0"/>
    <n v="0"/>
    <n v="0"/>
    <n v="0"/>
    <n v="0"/>
    <n v="0"/>
    <n v="227.98782689968402"/>
    <m/>
    <n v="0"/>
    <n v="0"/>
    <n v="0"/>
    <n v="0"/>
    <n v="30.45545056491585"/>
    <n v="6.755944288114847"/>
    <n v="0"/>
    <n v="0"/>
    <m/>
    <m/>
    <m/>
    <n v="-19344.586064354899"/>
    <n v="0"/>
    <n v="0"/>
    <n v="3724.5024600000033"/>
    <n v="0"/>
    <n v="0"/>
    <n v="0"/>
    <n v="3437.4162541779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79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6.3559999999999999"/>
    <n v="6.3559999999999999"/>
    <n v="6.3559999999999999"/>
    <n v="6.3559999999999999"/>
    <m/>
    <n v="707.13"/>
    <n v="119.97"/>
    <m/>
    <n v="5257.0475999999999"/>
    <n v="5257.0475999999999"/>
    <n v="4633.7146799999991"/>
    <n v="0"/>
    <n v="387.04785459854406"/>
    <n v="0"/>
    <n v="0"/>
    <n v="0"/>
    <n v="683.5192238581285"/>
    <n v="3237.5109017072969"/>
    <n v="762.55374339735033"/>
    <n v="0"/>
    <n v="0"/>
    <n v="0"/>
    <n v="0"/>
    <n v="0"/>
    <n v="59.811395876691982"/>
    <m/>
    <n v="13.673654862670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9614602468767"/>
    <n v="0"/>
    <n v="0"/>
    <n v="0"/>
    <n v="3086.41"/>
    <n v="31"/>
    <m/>
    <m/>
    <m/>
    <m/>
    <m/>
    <m/>
    <m/>
    <m/>
    <m/>
    <n v="875.51520364422709"/>
    <m/>
    <m/>
    <m/>
    <m/>
    <m/>
    <m/>
    <m/>
    <m/>
    <m/>
    <m/>
    <m/>
    <m/>
    <n v="4636.6307999999999"/>
    <n v="-620.44680000000062"/>
    <m/>
    <m/>
    <m/>
    <m/>
    <n v="-623.33292000000029"/>
    <n v="0"/>
    <m/>
    <n v="-48.040705960659807"/>
    <n v="0"/>
    <n v="0"/>
    <n v="0"/>
    <n v="0"/>
    <n v="0"/>
    <n v="0"/>
    <n v="0"/>
    <n v="-3.6569508008238927"/>
    <n v="0"/>
    <n v="0"/>
    <n v="0"/>
    <n v="0"/>
    <n v="0"/>
    <n v="0"/>
    <n v="0"/>
    <n v="0"/>
    <n v="-38.156054235989018"/>
    <m/>
    <n v="0"/>
    <n v="0"/>
    <n v="0"/>
    <n v="0"/>
    <n v="-5.0970257462374278"/>
    <n v="-1.1306751776096142"/>
    <n v="0"/>
    <n v="0"/>
    <m/>
    <m/>
    <m/>
    <n v="3237.5109017072969"/>
    <n v="0"/>
    <n v="0"/>
    <n v="-623.33292000000074"/>
    <n v="0"/>
    <n v="0"/>
    <n v="0"/>
    <n v="-575.2861580798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80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4.17"/>
    <n v="4.17"/>
    <n v="4.17"/>
    <n v="4.17"/>
    <m/>
    <n v="636.83000000000004"/>
    <n v="119.97"/>
    <m/>
    <n v="3155.8560000000002"/>
    <n v="3155.8560000000002"/>
    <n v="2775.2600999999995"/>
    <n v="0"/>
    <n v="0"/>
    <n v="0"/>
    <n v="0"/>
    <n v="0"/>
    <n v="448.43850904474448"/>
    <n v="2124.043495928167"/>
    <n v="500.29092353161593"/>
    <n v="0"/>
    <n v="0"/>
    <n v="0"/>
    <n v="0"/>
    <n v="0"/>
    <n v="0"/>
    <m/>
    <n v="8.97091579253256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110964321818102"/>
    <n v="0"/>
    <n v="0"/>
    <n v="0"/>
    <n v="132.05000000000001"/>
    <n v="7"/>
    <m/>
    <m/>
    <m/>
    <m/>
    <m/>
    <m/>
    <m/>
    <n v="1803.9002999999998"/>
    <m/>
    <n v="574.401887853434"/>
    <m/>
    <m/>
    <m/>
    <m/>
    <m/>
    <m/>
    <m/>
    <m/>
    <m/>
    <m/>
    <m/>
    <m/>
    <n v="971.35979999999995"/>
    <n v="-133.21979999999985"/>
    <m/>
    <m/>
    <m/>
    <m/>
    <n v="-380.59590000000037"/>
    <n v="0"/>
    <m/>
    <n v="-3.1410321475875662"/>
    <n v="0"/>
    <n v="0"/>
    <n v="0"/>
    <n v="0"/>
    <n v="0"/>
    <n v="0"/>
    <n v="0"/>
    <n v="-2.399226689653176"/>
    <n v="0"/>
    <n v="0"/>
    <n v="0"/>
    <n v="0"/>
    <n v="0"/>
    <n v="0"/>
    <n v="0"/>
    <n v="0"/>
    <n v="0"/>
    <m/>
    <n v="0"/>
    <n v="0"/>
    <n v="0"/>
    <n v="0"/>
    <n v="0"/>
    <n v="-0.74180545793456432"/>
    <n v="0"/>
    <n v="0"/>
    <m/>
    <m/>
    <m/>
    <n v="2124.043495928167"/>
    <n v="0"/>
    <n v="0"/>
    <n v="-380.59590000000071"/>
    <n v="0"/>
    <n v="0"/>
    <n v="0"/>
    <n v="-377.42971667602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81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8.4770000000000003"/>
    <n v="8.4770000000000003"/>
    <n v="8.4770000000000003"/>
    <n v="8.4770000000000003"/>
    <m/>
    <n v="636.83000000000004"/>
    <n v="119.97"/>
    <m/>
    <n v="6415.3936000000012"/>
    <n v="6415.3936000000012"/>
    <n v="5641.6978099999997"/>
    <n v="0"/>
    <n v="0"/>
    <n v="0"/>
    <n v="0"/>
    <n v="0"/>
    <n v="911.60988996937635"/>
    <n v="4317.869715823279"/>
    <n v="1017.0182634958054"/>
    <n v="0"/>
    <n v="0"/>
    <n v="0"/>
    <n v="0"/>
    <n v="0"/>
    <n v="0"/>
    <m/>
    <n v="18.23655951398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65674929401729"/>
    <n v="0"/>
    <n v="0"/>
    <n v="0"/>
    <n v="461.26"/>
    <n v="27"/>
    <m/>
    <m/>
    <m/>
    <m/>
    <m/>
    <m/>
    <m/>
    <n v="2256.6621699999996"/>
    <m/>
    <n v="1167.6750127898226"/>
    <m/>
    <m/>
    <m/>
    <m/>
    <m/>
    <m/>
    <m/>
    <m/>
    <m/>
    <m/>
    <m/>
    <m/>
    <n v="3386.2336"/>
    <n v="-463.03256000000101"/>
    <m/>
    <m/>
    <m/>
    <m/>
    <n v="-773.69579000000078"/>
    <n v="0"/>
    <m/>
    <n v="-6.3852588765234941"/>
    <n v="0"/>
    <n v="0"/>
    <n v="0"/>
    <n v="0"/>
    <n v="0"/>
    <n v="0"/>
    <n v="0"/>
    <n v="-4.8772768940505102"/>
    <n v="0"/>
    <n v="0"/>
    <n v="0"/>
    <n v="0"/>
    <n v="0"/>
    <n v="0"/>
    <n v="0"/>
    <n v="0"/>
    <n v="0"/>
    <m/>
    <n v="0"/>
    <n v="0"/>
    <n v="0"/>
    <n v="0"/>
    <n v="0"/>
    <n v="-1.5079819824727352"/>
    <n v="0"/>
    <n v="0"/>
    <m/>
    <m/>
    <m/>
    <n v="4317.869715823279"/>
    <n v="0"/>
    <n v="0"/>
    <n v="-773.69579000000067"/>
    <n v="0"/>
    <n v="0"/>
    <n v="0"/>
    <n v="-767.25940246107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82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7.9729999999999999"/>
    <n v="7.9729999999999999"/>
    <n v="7.9729999999999999"/>
    <n v="7.9729999999999999"/>
    <m/>
    <n v="636.83000000000004"/>
    <n v="119.97"/>
    <m/>
    <n v="6033.9664000000002"/>
    <n v="6033.9664000000002"/>
    <n v="5306.2706899999994"/>
    <n v="0"/>
    <n v="0"/>
    <n v="0"/>
    <n v="0"/>
    <n v="0"/>
    <n v="857.41012772511942"/>
    <n v="4061.1507896967087"/>
    <n v="956.55144683874664"/>
    <n v="0"/>
    <n v="0"/>
    <n v="0"/>
    <n v="0"/>
    <n v="0"/>
    <n v="0"/>
    <m/>
    <n v="17.1523049433722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69945288677596"/>
    <n v="0"/>
    <n v="0"/>
    <n v="0"/>
    <n v="1071.4000000000001"/>
    <n v="71"/>
    <m/>
    <m/>
    <m/>
    <m/>
    <m/>
    <m/>
    <m/>
    <n v="530.52341999999965"/>
    <m/>
    <n v="1098.2508997255227"/>
    <m/>
    <m/>
    <m/>
    <m/>
    <m/>
    <m/>
    <m/>
    <m/>
    <m/>
    <m/>
    <m/>
    <m/>
    <n v="4773.9502999999995"/>
    <n v="-656.64946000000054"/>
    <m/>
    <m/>
    <m/>
    <m/>
    <n v="-727.69571000000076"/>
    <n v="0"/>
    <m/>
    <n v="-6.0056233363829961"/>
    <n v="0"/>
    <n v="0"/>
    <n v="0"/>
    <n v="0"/>
    <n v="0"/>
    <n v="0"/>
    <n v="0"/>
    <n v="-4.5872984164520858"/>
    <n v="0"/>
    <n v="0"/>
    <n v="0"/>
    <n v="0"/>
    <n v="0"/>
    <n v="0"/>
    <n v="0"/>
    <n v="0"/>
    <n v="0"/>
    <m/>
    <n v="0"/>
    <n v="0"/>
    <n v="0"/>
    <n v="0"/>
    <n v="0"/>
    <n v="-1.4183249199310026"/>
    <n v="0"/>
    <n v="0"/>
    <m/>
    <m/>
    <m/>
    <n v="4061.1507896967087"/>
    <n v="0"/>
    <n v="0"/>
    <n v="-727.69571000000087"/>
    <n v="0"/>
    <n v="0"/>
    <n v="0"/>
    <n v="-721.6419978556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83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2.2970000000000002"/>
    <n v="2.2970000000000002"/>
    <n v="2.2970000000000002"/>
    <n v="2.2970000000000002"/>
    <m/>
    <n v="636.83000000000004"/>
    <n v="119.97"/>
    <m/>
    <n v="1738.3696"/>
    <n v="1738.3696"/>
    <n v="1528.7224099999999"/>
    <n v="0"/>
    <n v="0"/>
    <n v="0"/>
    <n v="0"/>
    <n v="0"/>
    <n v="247.01756721241682"/>
    <n v="1170.0066930808152"/>
    <n v="275.57991639139613"/>
    <n v="0"/>
    <n v="0"/>
    <n v="0"/>
    <n v="0"/>
    <n v="0"/>
    <n v="0"/>
    <m/>
    <n v="4.94153323152213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823233824272471"/>
    <n v="0"/>
    <n v="0"/>
    <n v="0"/>
    <n v="509.39"/>
    <n v="34"/>
    <m/>
    <m/>
    <m/>
    <m/>
    <m/>
    <m/>
    <m/>
    <m/>
    <m/>
    <n v="316.40315021566857"/>
    <m/>
    <m/>
    <m/>
    <m/>
    <m/>
    <m/>
    <m/>
    <m/>
    <m/>
    <m/>
    <m/>
    <m/>
    <n v="1530.7189999999998"/>
    <n v="-207.68060000000014"/>
    <m/>
    <m/>
    <m/>
    <m/>
    <n v="-209.64719000000022"/>
    <n v="0"/>
    <m/>
    <n v="-1.730204039090836"/>
    <n v="0"/>
    <n v="0"/>
    <n v="0"/>
    <n v="0"/>
    <n v="0"/>
    <n v="0"/>
    <n v="0"/>
    <n v="-1.3215884187370364"/>
    <n v="0"/>
    <n v="0"/>
    <n v="0"/>
    <n v="0"/>
    <n v="0"/>
    <n v="0"/>
    <n v="0"/>
    <n v="0"/>
    <n v="0"/>
    <m/>
    <n v="0"/>
    <n v="0"/>
    <n v="0"/>
    <n v="0"/>
    <n v="0"/>
    <n v="-0.40861562035388399"/>
    <n v="0"/>
    <n v="0"/>
    <m/>
    <m/>
    <m/>
    <n v="1170.0066930808152"/>
    <n v="0"/>
    <n v="0"/>
    <n v="-209.64719000000014"/>
    <n v="0"/>
    <n v="0"/>
    <n v="0"/>
    <n v="-207.90313170379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84"/>
    <s v="Regular"/>
    <s v="Convencional"/>
    <s v="B3"/>
    <s v="Industrial"/>
    <s v="Não se aplica"/>
    <s v="Não se aplica"/>
    <s v="Não se aplica"/>
    <s v="Não se aplica"/>
    <s v="CATIVO"/>
    <x v="3"/>
    <n v="0"/>
    <n v="0"/>
    <n v="118.005"/>
    <n v="118.005"/>
    <n v="118.005"/>
    <n v="118.005"/>
    <m/>
    <n v="707.13"/>
    <n v="119.97"/>
    <m/>
    <n v="97601.935500000007"/>
    <n v="97601.935500000007"/>
    <n v="86029.18514999999"/>
    <n v="0"/>
    <n v="7185.900264616298"/>
    <n v="0"/>
    <n v="0"/>
    <n v="0"/>
    <n v="12690.164570701456"/>
    <n v="60107.374757075137"/>
    <n v="14157.513292889289"/>
    <n v="0"/>
    <n v="0"/>
    <n v="0"/>
    <n v="0"/>
    <n v="0"/>
    <n v="1110.4537083746125"/>
    <m/>
    <n v="253.864009136164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97.2336558264137"/>
    <n v="0"/>
    <n v="0"/>
    <n v="0"/>
    <n v="34261.49"/>
    <n v="65"/>
    <m/>
    <m/>
    <m/>
    <m/>
    <m/>
    <m/>
    <m/>
    <m/>
    <m/>
    <n v="16254.746948715703"/>
    <m/>
    <m/>
    <m/>
    <m/>
    <m/>
    <m/>
    <m/>
    <m/>
    <m/>
    <m/>
    <m/>
    <m/>
    <n v="86032.830300000001"/>
    <n v="-11569.13519999999"/>
    <m/>
    <m/>
    <m/>
    <m/>
    <n v="-11572.750350000006"/>
    <n v="0"/>
    <m/>
    <n v="-891.91999793702416"/>
    <n v="0"/>
    <n v="0"/>
    <n v="0"/>
    <n v="0"/>
    <n v="0"/>
    <n v="0"/>
    <n v="0"/>
    <n v="-67.894663192451844"/>
    <n v="0"/>
    <n v="0"/>
    <n v="0"/>
    <n v="0"/>
    <n v="0"/>
    <n v="0"/>
    <n v="0"/>
    <n v="0"/>
    <n v="-708.40232538040982"/>
    <m/>
    <n v="0"/>
    <n v="0"/>
    <n v="0"/>
    <n v="0"/>
    <n v="-94.630982250589454"/>
    <n v="-20.992027113565541"/>
    <n v="0"/>
    <n v="0"/>
    <m/>
    <m/>
    <m/>
    <n v="60107.374757075137"/>
    <n v="0"/>
    <n v="0"/>
    <n v="-11572.750350000017"/>
    <n v="0"/>
    <n v="0"/>
    <n v="0"/>
    <n v="-10680.717917591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85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2"/>
    <n v="0.2"/>
    <n v="0.2"/>
    <n v="0.2"/>
    <m/>
    <n v="707.13"/>
    <n v="119.97"/>
    <m/>
    <n v="165.42000000000002"/>
    <n v="165.42000000000002"/>
    <n v="145.80599999999998"/>
    <n v="0"/>
    <n v="12.17897591562442"/>
    <n v="0"/>
    <n v="0"/>
    <n v="0"/>
    <n v="21.507842160419401"/>
    <n v="101.8725897327658"/>
    <n v="23.9947685147058"/>
    <n v="0"/>
    <n v="0"/>
    <n v="0"/>
    <n v="0"/>
    <n v="0"/>
    <n v="1.8820451817713022"/>
    <m/>
    <n v="0.4302597502413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544827012862399"/>
    <n v="0"/>
    <n v="0"/>
    <n v="0"/>
    <n v="601.66"/>
    <n v="2"/>
    <m/>
    <m/>
    <m/>
    <m/>
    <m/>
    <m/>
    <m/>
    <m/>
    <m/>
    <n v="27.54925121599204"/>
    <m/>
    <m/>
    <m/>
    <m/>
    <m/>
    <m/>
    <m/>
    <m/>
    <m/>
    <m/>
    <m/>
    <m/>
    <n v="145.80599999999998"/>
    <n v="-19.644000000000005"/>
    <m/>
    <m/>
    <m/>
    <m/>
    <n v="-19.614000000000011"/>
    <n v="0"/>
    <m/>
    <n v="-1.5116647564713617"/>
    <n v="0"/>
    <n v="0"/>
    <n v="0"/>
    <n v="0"/>
    <n v="0"/>
    <n v="0"/>
    <n v="0"/>
    <n v="-0.1150708244437979"/>
    <n v="0"/>
    <n v="0"/>
    <n v="0"/>
    <n v="0"/>
    <n v="0"/>
    <n v="0"/>
    <n v="0"/>
    <n v="0"/>
    <n v="-1.2006310332280989"/>
    <m/>
    <n v="0"/>
    <n v="0"/>
    <n v="0"/>
    <n v="0"/>
    <n v="-0.16038469937814415"/>
    <n v="-3.5578199421322065E-2"/>
    <n v="0"/>
    <n v="0"/>
    <m/>
    <m/>
    <m/>
    <n v="101.8725897327658"/>
    <n v="0"/>
    <n v="0"/>
    <n v="-19.614000000000019"/>
    <n v="0"/>
    <n v="0"/>
    <n v="0"/>
    <n v="-18.102144684701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86"/>
    <s v="Regular"/>
    <s v="Verde"/>
    <s v="A4"/>
    <s v="Industrial"/>
    <s v="Não se aplica"/>
    <s v="Não se aplica"/>
    <s v="Não se aplica"/>
    <s v="Ponta"/>
    <s v="CATIVO"/>
    <x v="3"/>
    <n v="0"/>
    <n v="0"/>
    <n v="92.667000000000002"/>
    <n v="92.667000000000002"/>
    <n v="92.667000000000002"/>
    <n v="92.667000000000002"/>
    <m/>
    <n v="3312.96"/>
    <n v="119.97"/>
    <m/>
    <n v="318119.32431"/>
    <n v="318119.32431"/>
    <n v="276130.05327000003"/>
    <n v="0"/>
    <n v="4909.3628511032784"/>
    <n v="0"/>
    <n v="0"/>
    <n v="0"/>
    <n v="69281.463629124031"/>
    <n v="231036.51286976162"/>
    <n v="11117.616069761212"/>
    <n v="0"/>
    <n v="0"/>
    <n v="0"/>
    <n v="0"/>
    <n v="0"/>
    <n v="872.01740429600625"/>
    <m/>
    <n v="77.90811155390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5.09282747095165"/>
    <n v="0"/>
    <n v="0"/>
    <n v="0"/>
    <n v="0"/>
    <n v="0"/>
    <m/>
    <m/>
    <m/>
    <m/>
    <m/>
    <m/>
    <m/>
    <m/>
    <m/>
    <n v="11942.708897232164"/>
    <m/>
    <m/>
    <m/>
    <m/>
    <m/>
    <m/>
    <m/>
    <m/>
    <m/>
    <m/>
    <m/>
    <m/>
    <n v="276138.9927"/>
    <n v="-41980.361610000022"/>
    <m/>
    <m/>
    <m/>
    <m/>
    <n v="-41989.271039999992"/>
    <n v="0"/>
    <m/>
    <n v="-935.39847352608922"/>
    <n v="0"/>
    <n v="0"/>
    <n v="0"/>
    <n v="0"/>
    <n v="0"/>
    <n v="0"/>
    <n v="0"/>
    <n v="-370.66829294261697"/>
    <n v="0"/>
    <n v="0"/>
    <n v="0"/>
    <n v="0"/>
    <n v="0"/>
    <n v="0"/>
    <n v="0"/>
    <n v="0"/>
    <n v="-483.9761104092413"/>
    <m/>
    <n v="0"/>
    <n v="0"/>
    <n v="0"/>
    <n v="0"/>
    <n v="-74.31184468637241"/>
    <n v="-6.4422254878554384"/>
    <n v="0"/>
    <n v="0"/>
    <m/>
    <m/>
    <m/>
    <n v="231036.51286976162"/>
    <n v="0"/>
    <n v="0"/>
    <n v="-41989.271039999963"/>
    <n v="0"/>
    <n v="0"/>
    <n v="0"/>
    <n v="-41053.794689899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87"/>
    <s v="Sistema de Compensação"/>
    <s v="Verde"/>
    <s v="A4"/>
    <s v="Industrial"/>
    <s v="Não se aplica"/>
    <s v="Não se aplica"/>
    <s v="Não se aplica"/>
    <s v="Ponta"/>
    <s v="CATIVO"/>
    <x v="3"/>
    <n v="0"/>
    <n v="0"/>
    <n v="1.762"/>
    <n v="1.762"/>
    <n v="1.762"/>
    <n v="1.762"/>
    <m/>
    <n v="3312.96"/>
    <n v="119.97"/>
    <m/>
    <n v="6048.8226599999998"/>
    <n v="6048.8226599999998"/>
    <n v="5250.4252200000001"/>
    <n v="0"/>
    <n v="93.34819670048644"/>
    <n v="0"/>
    <n v="0"/>
    <n v="0"/>
    <n v="1317.3399259123155"/>
    <n v="4393.0022087314792"/>
    <n v="211.39391061455811"/>
    <n v="0"/>
    <n v="0"/>
    <n v="0"/>
    <n v="0"/>
    <n v="0"/>
    <n v="16.580818051405171"/>
    <m/>
    <n v="1.4813697708782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885791274544"/>
    <n v="0"/>
    <n v="0"/>
    <n v="0"/>
    <n v="0"/>
    <n v="0"/>
    <m/>
    <m/>
    <m/>
    <m/>
    <m/>
    <m/>
    <m/>
    <m/>
    <m/>
    <n v="227.08248974201251"/>
    <m/>
    <m/>
    <m/>
    <m/>
    <m/>
    <m/>
    <m/>
    <m/>
    <m/>
    <m/>
    <m/>
    <m/>
    <n v="5244.4656000000004"/>
    <n v="-804.38706000000002"/>
    <m/>
    <m/>
    <m/>
    <m/>
    <n v="-798.39743999999985"/>
    <n v="0"/>
    <m/>
    <n v="-17.785965989543001"/>
    <n v="0"/>
    <n v="0"/>
    <n v="0"/>
    <n v="0"/>
    <n v="0"/>
    <n v="0"/>
    <n v="0"/>
    <n v="-7.0480055701048059"/>
    <n v="0"/>
    <n v="0"/>
    <n v="0"/>
    <n v="0"/>
    <n v="0"/>
    <n v="0"/>
    <n v="0"/>
    <n v="0"/>
    <n v="-9.2024766803833558"/>
    <m/>
    <n v="0"/>
    <n v="0"/>
    <n v="0"/>
    <n v="0"/>
    <n v="-1.4129892015214498"/>
    <n v="-0.12249453753333217"/>
    <n v="0"/>
    <n v="0"/>
    <m/>
    <m/>
    <m/>
    <n v="4393.0022087314792"/>
    <n v="0"/>
    <n v="0"/>
    <n v="-798.39743999999973"/>
    <n v="0"/>
    <n v="0"/>
    <n v="0"/>
    <n v="-780.60999324034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88"/>
    <s v="Regular"/>
    <s v="Verde"/>
    <s v="A4"/>
    <s v="Industrial"/>
    <s v="Não se aplica"/>
    <s v="Não se aplica"/>
    <s v="Não se aplica"/>
    <s v="Fora ponta"/>
    <s v="CATIVO"/>
    <x v="3"/>
    <n v="0"/>
    <n v="0"/>
    <n v="2118.2919999999999"/>
    <n v="2118.2919999999999"/>
    <n v="2118.2919999999999"/>
    <n v="2118.2919999999999"/>
    <m/>
    <n v="72.13"/>
    <n v="119.97"/>
    <m/>
    <n v="406923.89319999993"/>
    <n v="406923.89319999993"/>
    <n v="394023.49491999997"/>
    <n v="0"/>
    <n v="112224.02853863043"/>
    <n v="0"/>
    <n v="0"/>
    <n v="0"/>
    <n v="0"/>
    <n v="0"/>
    <n v="254139.63093276587"/>
    <n v="0"/>
    <n v="0"/>
    <n v="0"/>
    <n v="0"/>
    <n v="0"/>
    <n v="19933.606260923476"/>
    <m/>
    <n v="1780.9158539689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60.948727045194"/>
    <n v="0"/>
    <n v="0"/>
    <n v="0"/>
    <n v="0"/>
    <n v="0"/>
    <m/>
    <m/>
    <m/>
    <m/>
    <m/>
    <m/>
    <m/>
    <m/>
    <m/>
    <n v="273000.57965981105"/>
    <m/>
    <m/>
    <m/>
    <m/>
    <m/>
    <m/>
    <m/>
    <m/>
    <m/>
    <m/>
    <m/>
    <m/>
    <n v="394023.12290000002"/>
    <n v="-12900.800299999944"/>
    <m/>
    <m/>
    <m/>
    <m/>
    <n v="-12900.398279999976"/>
    <n v="0"/>
    <m/>
    <n v="-12909.271085591638"/>
    <n v="0"/>
    <n v="0"/>
    <n v="0"/>
    <n v="0"/>
    <n v="0"/>
    <n v="0"/>
    <n v="0"/>
    <n v="0"/>
    <n v="0"/>
    <n v="0"/>
    <n v="0"/>
    <n v="0"/>
    <n v="0"/>
    <n v="0"/>
    <n v="0"/>
    <n v="0"/>
    <n v="-11063.298939978777"/>
    <m/>
    <n v="0"/>
    <n v="0"/>
    <n v="0"/>
    <n v="0"/>
    <n v="-1698.7081280756393"/>
    <n v="-147.26401753720597"/>
    <n v="0"/>
    <n v="0"/>
    <m/>
    <m/>
    <m/>
    <n v="0"/>
    <n v="0"/>
    <n v="0"/>
    <n v="-12900.39827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89"/>
    <s v="Sistema de Compensação"/>
    <s v="Verde"/>
    <s v="A4"/>
    <s v="Industrial"/>
    <s v="Não se aplica"/>
    <s v="Não se aplica"/>
    <s v="Não se aplica"/>
    <s v="Fora ponta"/>
    <s v="CATIVO"/>
    <x v="3"/>
    <n v="0"/>
    <n v="0"/>
    <n v="4.9939999999999998"/>
    <n v="4.9939999999999998"/>
    <n v="4.9939999999999998"/>
    <n v="4.9939999999999998"/>
    <m/>
    <n v="72.13"/>
    <n v="119.97"/>
    <m/>
    <n v="959.34739999999988"/>
    <n v="959.34739999999988"/>
    <n v="928.93394000000001"/>
    <n v="0"/>
    <n v="264.57485489343316"/>
    <n v="0"/>
    <n v="0"/>
    <n v="0"/>
    <n v="0"/>
    <n v="0"/>
    <n v="599.14936981220376"/>
    <n v="0"/>
    <n v="0"/>
    <n v="0"/>
    <n v="0"/>
    <n v="0"/>
    <n v="46.994668188829415"/>
    <m/>
    <n v="4.1986155708092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465813940128982"/>
    <n v="0"/>
    <n v="0"/>
    <n v="0"/>
    <n v="0"/>
    <n v="0"/>
    <m/>
    <m/>
    <m/>
    <m/>
    <m/>
    <m/>
    <m/>
    <m/>
    <m/>
    <n v="643.61518375233277"/>
    <m/>
    <m/>
    <m/>
    <m/>
    <m/>
    <m/>
    <m/>
    <m/>
    <m/>
    <m/>
    <m/>
    <m/>
    <n v="928.18990000000008"/>
    <n v="-31.187499999999773"/>
    <m/>
    <m/>
    <m/>
    <m/>
    <n v="-30.413459999999944"/>
    <n v="0"/>
    <m/>
    <n v="-30.434378169508477"/>
    <n v="0"/>
    <n v="0"/>
    <n v="0"/>
    <n v="0"/>
    <n v="0"/>
    <n v="0"/>
    <n v="0"/>
    <n v="0"/>
    <n v="0"/>
    <n v="0"/>
    <n v="0"/>
    <n v="0"/>
    <n v="0"/>
    <n v="0"/>
    <n v="0"/>
    <n v="0"/>
    <n v="-26.082388502743697"/>
    <m/>
    <n v="0"/>
    <n v="0"/>
    <n v="0"/>
    <n v="0"/>
    <n v="-4.0048059434722632"/>
    <n v="-0.34718372329254343"/>
    <n v="0"/>
    <n v="0"/>
    <m/>
    <m/>
    <m/>
    <n v="0"/>
    <n v="0"/>
    <n v="0"/>
    <n v="-30.4134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90"/>
    <s v="Regular"/>
    <s v="Verde"/>
    <s v="A4"/>
    <s v="Industrial"/>
    <s v="Não se aplica"/>
    <s v="Não se aplica"/>
    <s v="Não se aplica"/>
    <s v="Não se aplica"/>
    <s v="CATIVO"/>
    <x v="3"/>
    <n v="10745"/>
    <n v="10745"/>
    <n v="0"/>
    <n v="0"/>
    <n v="0"/>
    <n v="0"/>
    <n v="46.29"/>
    <m/>
    <m/>
    <n v="497386.05"/>
    <m/>
    <n v="497386.05"/>
    <n v="442156.75"/>
    <n v="0"/>
    <n v="0"/>
    <n v="0"/>
    <n v="0"/>
    <n v="0"/>
    <n v="192475.31795342837"/>
    <n v="304872.48718429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58495.43"/>
    <n v="26"/>
    <m/>
    <m/>
    <m/>
    <m/>
    <m/>
    <m/>
    <m/>
    <m/>
    <m/>
    <n v="0"/>
    <m/>
    <m/>
    <m/>
    <m/>
    <m/>
    <m/>
    <m/>
    <m/>
    <m/>
    <m/>
    <m/>
    <m/>
    <n v="442156.75"/>
    <n v="-55229.330000000016"/>
    <m/>
    <m/>
    <m/>
    <m/>
    <n v="-55229.3"/>
    <n v="0"/>
    <m/>
    <n v="-1029.7775740034413"/>
    <n v="0"/>
    <n v="0"/>
    <n v="0"/>
    <n v="0"/>
    <m/>
    <m/>
    <m/>
    <n v="-1029.77757400344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4872.4871842924"/>
    <m/>
    <n v="0"/>
    <n v="0"/>
    <n v="-55229.299999999988"/>
    <m/>
    <n v="0"/>
    <m/>
    <n v="-54174.001935869746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91"/>
    <s v="Refaturamento - Regular"/>
    <s v="Verde"/>
    <s v="A4"/>
    <s v="Industrial"/>
    <s v="Não se aplica"/>
    <s v="Não se aplica"/>
    <s v="Não se aplica"/>
    <s v="Não se aplica"/>
    <s v="CATIVO"/>
    <x v="3"/>
    <n v="-25"/>
    <n v="-25"/>
    <n v="0"/>
    <n v="0"/>
    <n v="0"/>
    <n v="0"/>
    <n v="46.29"/>
    <m/>
    <m/>
    <n v="-1157.25"/>
    <m/>
    <n v="-1157.25"/>
    <n v="-1028.75"/>
    <n v="0"/>
    <n v="0"/>
    <n v="0"/>
    <n v="0"/>
    <n v="0"/>
    <n v="-447.82530933789752"/>
    <n v="-709.335707734510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-2619.88"/>
    <n v="0"/>
    <m/>
    <m/>
    <m/>
    <m/>
    <m/>
    <m/>
    <m/>
    <m/>
    <m/>
    <n v="0"/>
    <m/>
    <m/>
    <m/>
    <m/>
    <m/>
    <m/>
    <m/>
    <m/>
    <m/>
    <m/>
    <m/>
    <m/>
    <n v="-1028.75"/>
    <n v="128.47000000000003"/>
    <m/>
    <m/>
    <m/>
    <m/>
    <n v="128.5"/>
    <n v="0"/>
    <m/>
    <n v="2.3959459609200167"/>
    <n v="0"/>
    <n v="0"/>
    <n v="0"/>
    <n v="0"/>
    <m/>
    <m/>
    <m/>
    <n v="2.39594596092001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-709.33570773451004"/>
    <m/>
    <n v="0"/>
    <n v="0"/>
    <n v="128.5"/>
    <m/>
    <n v="0"/>
    <m/>
    <n v="126.04467644455508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92"/>
    <s v="Sistema de Compensação"/>
    <s v="Verde"/>
    <s v="A4"/>
    <s v="Industrial"/>
    <s v="Não se aplica"/>
    <s v="Não se aplica"/>
    <s v="Não se aplica"/>
    <s v="Não se aplica"/>
    <s v="CATIVO"/>
    <x v="3"/>
    <n v="60"/>
    <n v="60"/>
    <n v="0"/>
    <n v="0"/>
    <n v="0"/>
    <n v="0"/>
    <n v="46.29"/>
    <m/>
    <m/>
    <n v="2777.4"/>
    <m/>
    <n v="2777.4"/>
    <n v="2469"/>
    <n v="0"/>
    <n v="0"/>
    <n v="0"/>
    <n v="0"/>
    <n v="0"/>
    <n v="1074.780742410954"/>
    <n v="1702.4056985628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458.94"/>
    <n v="1"/>
    <m/>
    <m/>
    <m/>
    <m/>
    <m/>
    <m/>
    <m/>
    <m/>
    <m/>
    <n v="0"/>
    <m/>
    <m/>
    <m/>
    <m/>
    <m/>
    <m/>
    <m/>
    <m/>
    <m/>
    <m/>
    <m/>
    <m/>
    <n v="2469"/>
    <n v="-308.43000000000075"/>
    <m/>
    <m/>
    <m/>
    <m/>
    <n v="-308.40000000000003"/>
    <n v="0"/>
    <m/>
    <n v="-5.7502703062079945"/>
    <n v="0"/>
    <n v="0"/>
    <n v="0"/>
    <n v="0"/>
    <m/>
    <m/>
    <m/>
    <n v="-5.75027030620799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02.405698562824"/>
    <m/>
    <n v="0"/>
    <n v="0"/>
    <n v="-308.40000000000009"/>
    <m/>
    <n v="0"/>
    <m/>
    <n v="-302.5072234669319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93"/>
    <s v="Regular"/>
    <s v="Branca"/>
    <s v="B3"/>
    <s v="Industrial"/>
    <s v="Não se aplica"/>
    <s v="Não se aplica"/>
    <s v="Não se aplica"/>
    <s v="Ponta"/>
    <s v="CATIVO"/>
    <x v="3"/>
    <n v="0"/>
    <n v="0"/>
    <n v="5.1999999999999998E-2"/>
    <n v="5.1999999999999998E-2"/>
    <n v="5.1999999999999998E-2"/>
    <n v="5.1999999999999998E-2"/>
    <m/>
    <n v="2187.66"/>
    <n v="119.97"/>
    <m/>
    <n v="119.99675999999998"/>
    <n v="119.99675999999998"/>
    <n v="103.5294"/>
    <n v="0"/>
    <n v="3.1665337380623493"/>
    <n v="0"/>
    <n v="0"/>
    <n v="0"/>
    <n v="19.011025009107506"/>
    <n v="90.055359472866826"/>
    <n v="6.2386398138235073"/>
    <n v="0"/>
    <n v="0"/>
    <n v="0"/>
    <n v="0"/>
    <n v="0"/>
    <n v="0.48933174726053852"/>
    <m/>
    <n v="0.11186753506275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241655023344223"/>
    <n v="0"/>
    <n v="0"/>
    <n v="0"/>
    <n v="0"/>
    <n v="0"/>
    <m/>
    <m/>
    <m/>
    <m/>
    <m/>
    <m/>
    <m/>
    <m/>
    <m/>
    <n v="7.1628053161579297"/>
    <m/>
    <m/>
    <m/>
    <m/>
    <m/>
    <m/>
    <m/>
    <m/>
    <m/>
    <m/>
    <m/>
    <m/>
    <n v="99.547500000000014"/>
    <n v="-20.479259999999982"/>
    <m/>
    <m/>
    <m/>
    <m/>
    <n v="-16.467359999999992"/>
    <n v="0"/>
    <m/>
    <n v="-0.46482682587769375"/>
    <n v="0"/>
    <n v="0"/>
    <n v="0"/>
    <n v="0"/>
    <n v="0"/>
    <n v="0"/>
    <n v="0"/>
    <n v="-0.10171240355052547"/>
    <n v="0"/>
    <n v="0"/>
    <n v="0"/>
    <n v="0"/>
    <n v="0"/>
    <n v="0"/>
    <n v="0"/>
    <n v="0"/>
    <n v="-0.31216406863930635"/>
    <m/>
    <n v="0"/>
    <n v="0"/>
    <n v="0"/>
    <n v="0"/>
    <n v="-4.1700021838317503E-2"/>
    <n v="-9.2503318495437414E-3"/>
    <n v="0"/>
    <n v="0"/>
    <m/>
    <m/>
    <m/>
    <n v="90.055359472866826"/>
    <n v="0"/>
    <n v="0"/>
    <n v="-16.467359999999985"/>
    <n v="0"/>
    <n v="0"/>
    <n v="0"/>
    <n v="-16.00229415083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94"/>
    <s v="Regular"/>
    <s v="Branca"/>
    <s v="B3"/>
    <s v="Industrial"/>
    <s v="Não se aplica"/>
    <s v="Não se aplica"/>
    <s v="Não se aplica"/>
    <s v="Fora ponta"/>
    <s v="CATIVO"/>
    <x v="3"/>
    <n v="0"/>
    <n v="0"/>
    <n v="27.806999999999999"/>
    <n v="27.806999999999999"/>
    <n v="27.806999999999999"/>
    <n v="27.806999999999999"/>
    <m/>
    <n v="509.72"/>
    <n v="119.97"/>
    <m/>
    <n v="17509.789830000002"/>
    <n v="17509.789830000002"/>
    <n v="15593.053319999999"/>
    <n v="0"/>
    <n v="1693.3039164288411"/>
    <n v="0"/>
    <n v="0"/>
    <n v="0"/>
    <n v="2033.2291247240453"/>
    <n v="9631.4285972748003"/>
    <n v="3336.1126404421207"/>
    <n v="0"/>
    <n v="0"/>
    <n v="0"/>
    <n v="0"/>
    <n v="0"/>
    <n v="261.67015184757298"/>
    <m/>
    <n v="59.821164374808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4.19750237333233"/>
    <n v="0"/>
    <n v="0"/>
    <n v="0"/>
    <n v="0"/>
    <n v="0"/>
    <m/>
    <m/>
    <m/>
    <m/>
    <m/>
    <m/>
    <m/>
    <m/>
    <m/>
    <n v="3830.3101428154532"/>
    <m/>
    <m/>
    <m/>
    <m/>
    <m/>
    <m/>
    <m/>
    <m/>
    <m/>
    <m/>
    <m/>
    <m/>
    <n v="15594.7356"/>
    <n v="-1915.0842300000004"/>
    <m/>
    <m/>
    <m/>
    <m/>
    <n v="-1916.7365100000002"/>
    <n v="0"/>
    <m/>
    <n v="-205.05357889917741"/>
    <n v="0"/>
    <n v="0"/>
    <n v="0"/>
    <n v="0"/>
    <n v="0"/>
    <n v="0"/>
    <n v="0"/>
    <n v="-10.878141559726146"/>
    <n v="0"/>
    <n v="0"/>
    <n v="0"/>
    <n v="0"/>
    <n v="0"/>
    <n v="0"/>
    <n v="0"/>
    <n v="0"/>
    <n v="-166.92973570486879"/>
    <m/>
    <n v="0"/>
    <n v="0"/>
    <n v="0"/>
    <n v="0"/>
    <n v="-22.299086678040283"/>
    <n v="-4.9466149565435131"/>
    <n v="0"/>
    <n v="0"/>
    <m/>
    <m/>
    <m/>
    <n v="9631.4285972748003"/>
    <n v="0"/>
    <n v="0"/>
    <n v="-1916.7365100000006"/>
    <n v="0"/>
    <n v="0"/>
    <n v="0"/>
    <n v="-1711.4467635072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95"/>
    <s v="Regular"/>
    <s v="Branca"/>
    <s v="B3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638.2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96"/>
    <s v="Sistema de Compensação"/>
    <s v="Branca"/>
    <s v="B3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52.5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97"/>
    <s v="Regular"/>
    <s v="Branca"/>
    <s v="B3"/>
    <s v="Industrial"/>
    <s v="Não se aplica"/>
    <s v="Não se aplica"/>
    <s v="Não se aplica"/>
    <s v="Intermediário"/>
    <s v="CATIVO"/>
    <x v="3"/>
    <n v="0"/>
    <n v="0"/>
    <n v="0.185"/>
    <n v="0.185"/>
    <n v="0.185"/>
    <n v="0.185"/>
    <m/>
    <n v="1348.63"/>
    <n v="119.97"/>
    <m/>
    <n v="271.69100000000003"/>
    <n v="271.69100000000003"/>
    <n v="236.02299999999997"/>
    <n v="0"/>
    <n v="11.265552721952588"/>
    <n v="0"/>
    <n v="0"/>
    <n v="0"/>
    <n v="40.569916197963273"/>
    <n v="192.23353827461852"/>
    <n v="22.195160876102864"/>
    <n v="0"/>
    <n v="0"/>
    <n v="0"/>
    <n v="0"/>
    <n v="0"/>
    <n v="1.7408917931384544"/>
    <m/>
    <n v="0.397990268973267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878964986897721"/>
    <n v="0"/>
    <n v="0"/>
    <n v="0"/>
    <n v="0"/>
    <n v="0"/>
    <m/>
    <m/>
    <m/>
    <m/>
    <m/>
    <m/>
    <m/>
    <m/>
    <m/>
    <n v="25.483057374792637"/>
    <m/>
    <m/>
    <m/>
    <m/>
    <m/>
    <m/>
    <m/>
    <m/>
    <m/>
    <m/>
    <m/>
    <m/>
    <n v="242.40199999999999"/>
    <n v="-29.319000000000017"/>
    <m/>
    <m/>
    <m/>
    <m/>
    <n v="-35.668000000000035"/>
    <n v="0"/>
    <m/>
    <n v="-1.5089057366048166"/>
    <n v="0"/>
    <n v="0"/>
    <n v="0"/>
    <n v="0"/>
    <n v="0"/>
    <n v="0"/>
    <n v="0"/>
    <n v="-0.21705634947930008"/>
    <n v="0"/>
    <n v="0"/>
    <n v="0"/>
    <n v="0"/>
    <n v="0"/>
    <n v="0"/>
    <n v="0"/>
    <n v="0"/>
    <n v="-1.1105837057359924"/>
    <m/>
    <n v="0"/>
    <n v="0"/>
    <n v="0"/>
    <n v="0"/>
    <n v="-0.14835584692478343"/>
    <n v="-3.2909834464722898E-2"/>
    <n v="0"/>
    <n v="0"/>
    <m/>
    <m/>
    <m/>
    <n v="192.23353827461852"/>
    <n v="0"/>
    <n v="0"/>
    <n v="-35.668000000000035"/>
    <n v="0"/>
    <n v="0"/>
    <n v="0"/>
    <n v="-34.158740169732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98"/>
    <s v="Regular"/>
    <s v="Convencional"/>
    <s v="B3"/>
    <s v="Comercial"/>
    <s v="Não se aplica"/>
    <s v="Não se aplica"/>
    <s v="Não se aplica"/>
    <s v="Não se aplica"/>
    <s v="CATIVO"/>
    <x v="3"/>
    <n v="0"/>
    <n v="0"/>
    <n v="98.341999999999999"/>
    <n v="98.341999999999999"/>
    <n v="98.341999999999999"/>
    <n v="98.341999999999999"/>
    <m/>
    <n v="707.13"/>
    <n v="119.97"/>
    <m/>
    <n v="81338.6682"/>
    <n v="81338.6682"/>
    <n v="71694.268259999997"/>
    <n v="0"/>
    <n v="5988.5242474716833"/>
    <n v="0"/>
    <n v="0"/>
    <n v="0"/>
    <n v="10575.621068699824"/>
    <n v="50091.771097498269"/>
    <n v="11798.467626365989"/>
    <n v="0"/>
    <n v="0"/>
    <n v="0"/>
    <n v="0"/>
    <n v="0"/>
    <n v="925.42043632876698"/>
    <m/>
    <n v="211.56302179118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47.774689049457"/>
    <n v="0"/>
    <n v="0"/>
    <n v="0"/>
    <n v="27293.71"/>
    <n v="274"/>
    <m/>
    <m/>
    <m/>
    <m/>
    <m/>
    <m/>
    <m/>
    <m/>
    <m/>
    <n v="13546.242315415446"/>
    <m/>
    <m/>
    <m/>
    <m/>
    <m/>
    <m/>
    <m/>
    <m/>
    <m/>
    <m/>
    <m/>
    <m/>
    <n v="71692.810199999993"/>
    <n v="-9645.8879999999917"/>
    <m/>
    <m/>
    <m/>
    <m/>
    <n v="-9644.3999400000048"/>
    <n v="0"/>
    <m/>
    <n v="-743.30067740453887"/>
    <n v="0"/>
    <n v="0"/>
    <n v="0"/>
    <n v="0"/>
    <n v="0"/>
    <n v="0"/>
    <n v="0"/>
    <n v="-56.581475087261424"/>
    <n v="0"/>
    <n v="0"/>
    <n v="0"/>
    <n v="0"/>
    <n v="0"/>
    <n v="0"/>
    <n v="0"/>
    <n v="0"/>
    <n v="-590.36228534858856"/>
    <m/>
    <n v="0"/>
    <n v="0"/>
    <n v="0"/>
    <n v="0"/>
    <n v="-78.862760531227309"/>
    <n v="-17.494156437458287"/>
    <n v="0"/>
    <n v="0"/>
    <m/>
    <m/>
    <m/>
    <n v="50091.771097498269"/>
    <n v="0"/>
    <n v="0"/>
    <n v="-9644.3999400000102"/>
    <n v="0"/>
    <n v="0"/>
    <n v="0"/>
    <n v="-8901.0055629146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99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0.80700000000000005"/>
    <n v="0.80700000000000005"/>
    <n v="0.80700000000000005"/>
    <n v="0.80700000000000005"/>
    <m/>
    <n v="707.13"/>
    <n v="119.97"/>
    <m/>
    <n v="667.46969999999999"/>
    <n v="667.46969999999999"/>
    <n v="588.32721000000004"/>
    <n v="0"/>
    <n v="49.142167819544539"/>
    <n v="0"/>
    <n v="0"/>
    <n v="0"/>
    <n v="86.784143117292288"/>
    <n v="411.05589957171003"/>
    <n v="96.818890956837905"/>
    <n v="0"/>
    <n v="0"/>
    <n v="0"/>
    <n v="0"/>
    <n v="0"/>
    <n v="7.5940523084472042"/>
    <m/>
    <n v="1.73609809222392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342337699689979"/>
    <n v="0"/>
    <n v="0"/>
    <n v="0"/>
    <n v="2757.9"/>
    <n v="6"/>
    <m/>
    <m/>
    <m/>
    <m/>
    <m/>
    <m/>
    <m/>
    <m/>
    <m/>
    <n v="111.16122865652788"/>
    <m/>
    <m/>
    <m/>
    <m/>
    <m/>
    <m/>
    <m/>
    <m/>
    <m/>
    <m/>
    <m/>
    <m/>
    <n v="590.51430000000005"/>
    <n v="-76.985399999999913"/>
    <m/>
    <m/>
    <m/>
    <m/>
    <n v="-79.142490000000052"/>
    <n v="0"/>
    <m/>
    <n v="-6.0995672923619964"/>
    <n v="0"/>
    <n v="0"/>
    <n v="0"/>
    <n v="0"/>
    <n v="0"/>
    <n v="0"/>
    <n v="0"/>
    <n v="-0.46431077663072529"/>
    <n v="0"/>
    <n v="0"/>
    <n v="0"/>
    <n v="0"/>
    <n v="0"/>
    <n v="0"/>
    <n v="0"/>
    <n v="0"/>
    <n v="-4.844546219075383"/>
    <m/>
    <n v="0"/>
    <n v="0"/>
    <n v="0"/>
    <n v="0"/>
    <n v="-0.64715226199081144"/>
    <n v="-0.14355803466503447"/>
    <n v="0"/>
    <n v="0"/>
    <m/>
    <m/>
    <m/>
    <n v="411.05589957171003"/>
    <n v="0"/>
    <n v="0"/>
    <n v="-79.142490000000009"/>
    <n v="0"/>
    <n v="0"/>
    <n v="0"/>
    <n v="-73.04215380277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00"/>
    <s v="Regular"/>
    <s v="Convencional"/>
    <s v="B2"/>
    <s v="Rural"/>
    <s v="Não se aplica"/>
    <s v="Não se aplica"/>
    <s v="Não se aplica"/>
    <s v="Não se aplica"/>
    <s v="CATIVO"/>
    <x v="3"/>
    <n v="0"/>
    <n v="0"/>
    <n v="251.61"/>
    <n v="251.61"/>
    <n v="251.61"/>
    <n v="251.61"/>
    <m/>
    <n v="707.13"/>
    <n v="119.97"/>
    <m/>
    <n v="208106.63099999999"/>
    <n v="208106.63099999999"/>
    <n v="183431.23829999997"/>
    <n v="0"/>
    <n v="15321.760650651302"/>
    <n v="0"/>
    <n v="0"/>
    <n v="0"/>
    <n v="27057.940829915628"/>
    <n v="128160.81151330602"/>
    <n v="30186.618529925632"/>
    <n v="0"/>
    <n v="0"/>
    <n v="0"/>
    <n v="0"/>
    <n v="0"/>
    <n v="2367.7069409273868"/>
    <m/>
    <n v="541.288278791155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71.7169623531545"/>
    <n v="0"/>
    <n v="0"/>
    <n v="0"/>
    <n v="40897.230000000003"/>
    <n v="711"/>
    <m/>
    <m/>
    <m/>
    <m/>
    <m/>
    <n v="22010.84279999998"/>
    <m/>
    <m/>
    <m/>
    <n v="34658.335492278784"/>
    <m/>
    <m/>
    <m/>
    <m/>
    <m/>
    <m/>
    <m/>
    <m/>
    <m/>
    <m/>
    <m/>
    <m/>
    <n v="161420.39550000004"/>
    <n v="-21716.489100000006"/>
    <m/>
    <m/>
    <m/>
    <m/>
    <n v="-24675.392700000015"/>
    <n v="0"/>
    <m/>
    <n v="-1901.7498468787817"/>
    <n v="0"/>
    <n v="0"/>
    <n v="0"/>
    <n v="0"/>
    <n v="0"/>
    <n v="0"/>
    <n v="0"/>
    <n v="-144.76485069152113"/>
    <n v="0"/>
    <n v="0"/>
    <n v="0"/>
    <n v="0"/>
    <n v="0"/>
    <n v="0"/>
    <n v="0"/>
    <n v="0"/>
    <n v="-1510.4538713526108"/>
    <m/>
    <n v="0"/>
    <n v="0"/>
    <n v="0"/>
    <n v="0"/>
    <n v="-201.77197105267442"/>
    <n v="-44.759153781994144"/>
    <n v="0"/>
    <n v="0"/>
    <m/>
    <m/>
    <m/>
    <n v="128160.81151330602"/>
    <n v="0"/>
    <n v="0"/>
    <n v="-24675.392700000026"/>
    <n v="0"/>
    <n v="0"/>
    <n v="0"/>
    <n v="-22773.403120588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01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0.541"/>
    <n v="10.541"/>
    <n v="10.541"/>
    <n v="10.541"/>
    <m/>
    <n v="707.13"/>
    <n v="119.97"/>
    <m/>
    <n v="8718.4611000000004"/>
    <n v="8718.4611000000004"/>
    <n v="7684.7052299999996"/>
    <n v="0"/>
    <n v="641.89292563298511"/>
    <n v="0"/>
    <n v="0"/>
    <n v="0"/>
    <n v="1133.5708210649045"/>
    <n v="5369.1948418654219"/>
    <n v="1264.6442745675693"/>
    <n v="0"/>
    <n v="0"/>
    <n v="0"/>
    <n v="0"/>
    <n v="0"/>
    <n v="99.193191305256477"/>
    <m/>
    <n v="22.6768401364714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.33901077129127"/>
    <n v="0"/>
    <n v="0"/>
    <n v="0"/>
    <n v="4818.9799999999996"/>
    <n v="12"/>
    <m/>
    <m/>
    <m/>
    <m/>
    <m/>
    <n v="922.12667999999917"/>
    <m/>
    <m/>
    <m/>
    <n v="1451.9832853388605"/>
    <m/>
    <m/>
    <m/>
    <m/>
    <m/>
    <m/>
    <m/>
    <m/>
    <m/>
    <m/>
    <m/>
    <m/>
    <n v="6761.936999999999"/>
    <n v="-910.46526000000176"/>
    <m/>
    <m/>
    <m/>
    <m/>
    <n v="-1033.7558700000006"/>
    <n v="0"/>
    <m/>
    <n v="-79.672290989823523"/>
    <n v="0"/>
    <n v="0"/>
    <n v="0"/>
    <n v="0"/>
    <n v="0"/>
    <n v="0"/>
    <n v="0"/>
    <n v="-6.0648078023104972"/>
    <n v="0"/>
    <n v="0"/>
    <n v="0"/>
    <n v="0"/>
    <n v="0"/>
    <n v="0"/>
    <n v="0"/>
    <n v="0"/>
    <n v="-63.279258606287044"/>
    <m/>
    <n v="0"/>
    <n v="0"/>
    <n v="0"/>
    <n v="0"/>
    <n v="-8.4530755807250841"/>
    <n v="-1.8751490005007803"/>
    <n v="0"/>
    <n v="0"/>
    <m/>
    <m/>
    <m/>
    <n v="5369.1948418654219"/>
    <n v="0"/>
    <n v="0"/>
    <n v="-1033.75587"/>
    <n v="0"/>
    <n v="0"/>
    <n v="0"/>
    <n v="-954.07353560719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02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26.853000000000002"/>
    <n v="26.853000000000002"/>
    <n v="26.853000000000002"/>
    <n v="26.853000000000002"/>
    <m/>
    <n v="707.13"/>
    <n v="119.97"/>
    <m/>
    <n v="22210.116300000002"/>
    <n v="22210.116300000002"/>
    <n v="19576.642589999999"/>
    <n v="0"/>
    <n v="1635.2102013113129"/>
    <n v="0"/>
    <n v="0"/>
    <n v="0"/>
    <n v="2887.7504276687109"/>
    <n v="13677.923260469801"/>
    <n v="3221.6575946269745"/>
    <n v="0"/>
    <n v="0"/>
    <n v="0"/>
    <n v="0"/>
    <n v="0"/>
    <n v="252.69279633052389"/>
    <m/>
    <n v="57.76882536615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7.242619888197"/>
    <n v="0"/>
    <n v="0"/>
    <n v="0"/>
    <n v="7203.65"/>
    <n v="81"/>
    <m/>
    <m/>
    <m/>
    <m/>
    <m/>
    <m/>
    <m/>
    <m/>
    <m/>
    <n v="3698.9002145151717"/>
    <m/>
    <m/>
    <m/>
    <m/>
    <m/>
    <m/>
    <m/>
    <m/>
    <m/>
    <m/>
    <m/>
    <m/>
    <n v="19574.4555"/>
    <n v="-2635.6907999999967"/>
    <m/>
    <m/>
    <m/>
    <m/>
    <n v="-2633.4737100000016"/>
    <n v="0"/>
    <m/>
    <n v="-202.96366852762912"/>
    <n v="0"/>
    <n v="0"/>
    <n v="0"/>
    <n v="0"/>
    <n v="0"/>
    <n v="0"/>
    <n v="0"/>
    <n v="-15.449984243946801"/>
    <n v="0"/>
    <n v="0"/>
    <n v="0"/>
    <n v="0"/>
    <n v="0"/>
    <n v="0"/>
    <n v="0"/>
    <n v="0"/>
    <n v="-161.20272567637085"/>
    <m/>
    <n v="0"/>
    <n v="0"/>
    <n v="0"/>
    <n v="0"/>
    <n v="-21.534051662006533"/>
    <n v="-4.7769069453038071"/>
    <n v="0"/>
    <n v="0"/>
    <m/>
    <m/>
    <m/>
    <n v="13677.923260469801"/>
    <n v="0"/>
    <n v="0"/>
    <n v="-2633.473710000002"/>
    <n v="0"/>
    <n v="0"/>
    <n v="0"/>
    <n v="-2430.4844560914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03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83.29"/>
    <n v="83.29"/>
    <n v="83.29"/>
    <n v="83.29"/>
    <m/>
    <n v="388.92"/>
    <n v="65.989999999999995"/>
    <m/>
    <n v="37889.4539"/>
    <n v="37889.4539"/>
    <n v="33396.791300000004"/>
    <n v="0"/>
    <n v="2789.5639860339879"/>
    <n v="0"/>
    <n v="0"/>
    <n v="0"/>
    <n v="4926.3174772386583"/>
    <n v="23333.661996815681"/>
    <n v="5495.9417413720721"/>
    <n v="0"/>
    <n v="0"/>
    <n v="0"/>
    <n v="0"/>
    <n v="0"/>
    <n v="431.0777437717623"/>
    <m/>
    <n v="98.549920143410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4.14537652285935"/>
    <n v="0"/>
    <n v="0"/>
    <n v="0"/>
    <n v="15074.64"/>
    <n v="2"/>
    <m/>
    <m/>
    <m/>
    <m/>
    <m/>
    <m/>
    <m/>
    <m/>
    <m/>
    <n v="6310.087117894931"/>
    <m/>
    <m/>
    <m/>
    <m/>
    <m/>
    <m/>
    <m/>
    <m/>
    <m/>
    <m/>
    <m/>
    <m/>
    <n v="33396.791300000004"/>
    <n v="-4492.6925999999949"/>
    <m/>
    <m/>
    <m/>
    <m/>
    <n v="-4492.6626000000006"/>
    <n v="0"/>
    <m/>
    <n v="-346.24303330789007"/>
    <n v="0"/>
    <n v="0"/>
    <n v="0"/>
    <n v="0"/>
    <n v="0"/>
    <n v="0"/>
    <n v="0"/>
    <n v="-26.356684661803229"/>
    <n v="0"/>
    <n v="0"/>
    <n v="0"/>
    <n v="0"/>
    <n v="0"/>
    <n v="0"/>
    <n v="0"/>
    <n v="0"/>
    <n v="-275.0015365833151"/>
    <m/>
    <n v="0"/>
    <n v="0"/>
    <n v="0"/>
    <n v="0"/>
    <n v="-36.735714430814994"/>
    <n v="-8.1490976319556268"/>
    <n v="0"/>
    <n v="0"/>
    <m/>
    <m/>
    <m/>
    <n v="23333.661996815681"/>
    <n v="0"/>
    <n v="0"/>
    <n v="-4492.6625999999997"/>
    <n v="0"/>
    <n v="0"/>
    <n v="0"/>
    <n v="-4146.2509846691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04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4.399"/>
    <n v="4.1350600000000002"/>
    <n v="4.399"/>
    <n v="4.1350600000000002"/>
    <m/>
    <n v="707.13"/>
    <n v="119.97"/>
    <m/>
    <n v="3638.4129000000003"/>
    <n v="3638.4129000000003"/>
    <n v="3207.0029699999996"/>
    <n v="0"/>
    <n v="267.8765752641591"/>
    <n v="0"/>
    <n v="0"/>
    <n v="0"/>
    <n v="473.0649883184247"/>
    <n v="2240.687611172184"/>
    <n v="527.76493348095403"/>
    <n v="0"/>
    <n v="0"/>
    <n v="0"/>
    <n v="0"/>
    <n v="0"/>
    <n v="41.395583773059791"/>
    <m/>
    <n v="9.46356320655893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180847014790842"/>
    <n v="0"/>
    <n v="0"/>
    <n v="0"/>
    <n v="1213.03"/>
    <n v="7"/>
    <m/>
    <m/>
    <m/>
    <m/>
    <n v="192.42017819999987"/>
    <m/>
    <m/>
    <m/>
    <m/>
    <n v="605.94578049574488"/>
    <m/>
    <m/>
    <m/>
    <m/>
    <m/>
    <m/>
    <m/>
    <m/>
    <m/>
    <m/>
    <m/>
    <m/>
    <n v="3018.1841999999997"/>
    <n v="-401.95392600000105"/>
    <m/>
    <m/>
    <m/>
    <m/>
    <n v="-431.4099300000002"/>
    <n v="0"/>
    <m/>
    <n v="-33.249066318587666"/>
    <n v="0"/>
    <n v="0"/>
    <n v="0"/>
    <n v="0"/>
    <n v="0"/>
    <n v="0"/>
    <n v="0"/>
    <n v="-2.5309827836413206"/>
    <n v="0"/>
    <n v="0"/>
    <n v="0"/>
    <n v="0"/>
    <n v="0"/>
    <n v="0"/>
    <n v="0"/>
    <n v="0"/>
    <n v="-26.407879575852036"/>
    <m/>
    <n v="0"/>
    <n v="0"/>
    <n v="0"/>
    <n v="0"/>
    <n v="-3.5276614628222802"/>
    <n v="-0.78254249627197936"/>
    <n v="0"/>
    <n v="0"/>
    <m/>
    <m/>
    <m/>
    <n v="2240.687611172184"/>
    <n v="0"/>
    <n v="0"/>
    <n v="-431.40993000000026"/>
    <n v="0"/>
    <n v="0"/>
    <n v="0"/>
    <n v="-398.15667234001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05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5.7910000000000004"/>
    <n v="5.4435399999999996"/>
    <n v="5.7910000000000004"/>
    <n v="5.4435399999999996"/>
    <m/>
    <n v="3312.96"/>
    <n v="119.97"/>
    <m/>
    <n v="19880.09763"/>
    <n v="19880.09763"/>
    <n v="17256.079710000002"/>
    <n v="0"/>
    <n v="306.79875544410726"/>
    <n v="0"/>
    <n v="0"/>
    <n v="0"/>
    <n v="4329.5774750046648"/>
    <n v="14438.067985677637"/>
    <n v="694.76852234330647"/>
    <n v="0"/>
    <n v="0"/>
    <n v="0"/>
    <n v="0"/>
    <n v="0"/>
    <n v="54.494618238188053"/>
    <m/>
    <n v="4.86867896887397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562180321843606"/>
    <n v="0"/>
    <n v="0"/>
    <n v="0"/>
    <n v="0"/>
    <n v="0"/>
    <m/>
    <m/>
    <m/>
    <m/>
    <n v="1035.3647826000024"/>
    <m/>
    <m/>
    <m/>
    <m/>
    <n v="746.33070266515006"/>
    <m/>
    <m/>
    <m/>
    <m/>
    <m/>
    <m/>
    <m/>
    <m/>
    <m/>
    <m/>
    <m/>
    <m/>
    <n v="16210.166400000002"/>
    <n v="-2477.1553721999917"/>
    <m/>
    <m/>
    <m/>
    <m/>
    <n v="-2624.0179199999993"/>
    <n v="0"/>
    <m/>
    <n v="-58.455464838503758"/>
    <n v="0"/>
    <n v="0"/>
    <n v="0"/>
    <n v="0"/>
    <n v="0"/>
    <n v="0"/>
    <n v="0"/>
    <n v="-23.164018306740218"/>
    <n v="0"/>
    <n v="0"/>
    <n v="0"/>
    <n v="0"/>
    <n v="0"/>
    <n v="0"/>
    <n v="0"/>
    <n v="0"/>
    <n v="-30.244916263393861"/>
    <m/>
    <n v="0"/>
    <n v="0"/>
    <n v="0"/>
    <n v="0"/>
    <n v="-4.6439389704941618"/>
    <n v="-0.40259129787487336"/>
    <n v="0"/>
    <n v="0"/>
    <m/>
    <m/>
    <m/>
    <n v="14438.067985677637"/>
    <n v="0"/>
    <n v="0"/>
    <n v="-2624.0179199999984"/>
    <n v="0"/>
    <n v="0"/>
    <n v="0"/>
    <n v="-2565.557588453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06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44.106000000000002"/>
    <n v="41.45964"/>
    <n v="44.106000000000002"/>
    <n v="41.45964"/>
    <m/>
    <n v="72.13"/>
    <n v="119.97"/>
    <m/>
    <n v="8472.7626"/>
    <n v="8472.7626"/>
    <n v="8204.1570600000014"/>
    <n v="0"/>
    <n v="2336.6717160452072"/>
    <n v="0"/>
    <n v="0"/>
    <n v="0"/>
    <n v="0"/>
    <n v="0"/>
    <n v="5291.5663005480701"/>
    <n v="0"/>
    <n v="0"/>
    <n v="0"/>
    <n v="0"/>
    <n v="0"/>
    <n v="415.04742393602527"/>
    <m/>
    <n v="37.0813252635391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2.71309364103502"/>
    <n v="0"/>
    <n v="0"/>
    <n v="0"/>
    <n v="0"/>
    <n v="0"/>
    <m/>
    <m/>
    <m/>
    <m/>
    <n v="492.24942360000028"/>
    <m/>
    <m/>
    <m/>
    <m/>
    <n v="5684.279394189105"/>
    <m/>
    <m/>
    <m/>
    <m/>
    <m/>
    <m/>
    <m/>
    <m/>
    <m/>
    <m/>
    <m/>
    <m/>
    <n v="7711.9745999999996"/>
    <n v="-252.45224400000097"/>
    <m/>
    <m/>
    <m/>
    <m/>
    <n v="-268.60553999999951"/>
    <n v="0"/>
    <m/>
    <n v="-268.79028505093083"/>
    <n v="0"/>
    <n v="0"/>
    <n v="0"/>
    <n v="0"/>
    <n v="0"/>
    <n v="0"/>
    <n v="0"/>
    <n v="0"/>
    <n v="0"/>
    <n v="0"/>
    <n v="0"/>
    <n v="0"/>
    <n v="0"/>
    <n v="0"/>
    <n v="0"/>
    <n v="0"/>
    <n v="-230.35439072927829"/>
    <m/>
    <n v="0"/>
    <n v="0"/>
    <n v="0"/>
    <n v="0"/>
    <n v="-35.36963775386215"/>
    <n v="-3.0662565677895302"/>
    <n v="0"/>
    <n v="0"/>
    <m/>
    <m/>
    <m/>
    <n v="0"/>
    <n v="0"/>
    <n v="0"/>
    <n v="-268.60553999999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07"/>
    <s v="Regular"/>
    <s v="Verde"/>
    <s v="A4"/>
    <s v="Serviço público"/>
    <s v="Água, esgoto e saneamento"/>
    <s v="Não se aplica"/>
    <s v="Não se aplica"/>
    <s v="Não se aplica"/>
    <s v="CATIVO"/>
    <x v="3"/>
    <n v="100"/>
    <n v="94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628.69"/>
    <n v="1"/>
    <m/>
    <m/>
    <m/>
    <m/>
    <n v="246.89999999999998"/>
    <m/>
    <m/>
    <m/>
    <m/>
    <n v="0"/>
    <m/>
    <m/>
    <m/>
    <m/>
    <m/>
    <m/>
    <m/>
    <m/>
    <m/>
    <m/>
    <m/>
    <m/>
    <n v="3868.1"/>
    <n v="-483.19000000000096"/>
    <m/>
    <m/>
    <m/>
    <m/>
    <n v="-514"/>
    <n v="0"/>
    <m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108"/>
    <s v="Regular"/>
    <s v="Convencional"/>
    <s v="B1"/>
    <s v="Residencial"/>
    <s v="Residencial"/>
    <s v="Não se aplica"/>
    <s v="Não se aplica"/>
    <s v="Não se aplica"/>
    <s v="CATIVO"/>
    <x v="4"/>
    <n v="0"/>
    <n v="0"/>
    <n v="575.85500000000002"/>
    <n v="575.85500000000002"/>
    <n v="575.85500000000002"/>
    <n v="575.85500000000002"/>
    <m/>
    <n v="707.13"/>
    <n v="119.97"/>
    <m/>
    <n v="476289.67050000001"/>
    <n v="476289.67050000001"/>
    <n v="419815.57065000001"/>
    <n v="0"/>
    <n v="35066.6208794595"/>
    <n v="0"/>
    <n v="0"/>
    <n v="0"/>
    <n v="61926.992236441569"/>
    <n v="293319.20080280927"/>
    <n v="69087.537115179541"/>
    <n v="0"/>
    <n v="0"/>
    <n v="0"/>
    <n v="0"/>
    <n v="0"/>
    <n v="5418.9256407445664"/>
    <m/>
    <n v="1238.83614237622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34.33317974594"/>
    <n v="0"/>
    <n v="0"/>
    <n v="0"/>
    <n v="104907.15"/>
    <n v="3116"/>
    <m/>
    <m/>
    <m/>
    <m/>
    <m/>
    <m/>
    <m/>
    <m/>
    <m/>
    <n v="79321.87029492548"/>
    <m/>
    <m/>
    <m/>
    <m/>
    <m/>
    <m/>
    <m/>
    <m/>
    <m/>
    <m/>
    <m/>
    <m/>
    <n v="419819.21580000001"/>
    <n v="-56470.48470000003"/>
    <m/>
    <m/>
    <m/>
    <m/>
    <n v="-56474.099850000028"/>
    <n v="0"/>
    <n v="31"/>
    <n v="-4352.4985416890704"/>
    <n v="0"/>
    <n v="0"/>
    <n v="0"/>
    <n v="0"/>
    <n v="0"/>
    <n v="0"/>
    <n v="0"/>
    <n v="-331.32054805041844"/>
    <n v="0"/>
    <n v="0"/>
    <n v="0"/>
    <n v="0"/>
    <n v="0"/>
    <n v="0"/>
    <n v="0"/>
    <n v="0"/>
    <n v="-3456.9469181978347"/>
    <m/>
    <n v="0"/>
    <n v="0"/>
    <n v="0"/>
    <n v="0"/>
    <n v="-461.7916553020068"/>
    <n v="-102.43942013882702"/>
    <n v="0"/>
    <n v="0"/>
    <m/>
    <m/>
    <m/>
    <n v="293319.20080280927"/>
    <n v="0"/>
    <n v="0"/>
    <n v="-56474.099849999999"/>
    <n v="0"/>
    <n v="0"/>
    <n v="0"/>
    <n v="-52121.052637044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09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8.907"/>
    <n v="-8.907"/>
    <n v="-8.907"/>
    <n v="-8.907"/>
    <m/>
    <n v="707.13"/>
    <n v="119.97"/>
    <m/>
    <n v="-7366.9796999999999"/>
    <n v="-7366.9796999999999"/>
    <n v="-6493.4702099999995"/>
    <n v="0"/>
    <n v="-542.39069240233357"/>
    <n v="0"/>
    <n v="0"/>
    <n v="0"/>
    <n v="-957.85175061427799"/>
    <n v="-4536.8957837487251"/>
    <n v="-1068.6070158024229"/>
    <n v="0"/>
    <n v="0"/>
    <n v="0"/>
    <n v="0"/>
    <n v="0"/>
    <n v="-83.81688217018494"/>
    <m/>
    <n v="-19.161617976999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8.2988871017827"/>
    <n v="0"/>
    <n v="0"/>
    <n v="0"/>
    <n v="-2576.8200000000002"/>
    <n v="0"/>
    <m/>
    <m/>
    <m/>
    <m/>
    <m/>
    <m/>
    <m/>
    <m/>
    <m/>
    <n v="-1226.9059029042055"/>
    <m/>
    <m/>
    <m/>
    <m/>
    <m/>
    <m/>
    <m/>
    <m/>
    <m/>
    <m/>
    <m/>
    <m/>
    <n v="-6495.6572999999999"/>
    <n v="871.29239999999936"/>
    <m/>
    <m/>
    <m/>
    <m/>
    <n v="873.50949000000048"/>
    <n v="0"/>
    <n v="31"/>
    <n v="67.321989929451775"/>
    <n v="0"/>
    <n v="0"/>
    <n v="0"/>
    <n v="0"/>
    <n v="0"/>
    <n v="0"/>
    <n v="0"/>
    <n v="5.124679166604551"/>
    <n v="0"/>
    <n v="0"/>
    <n v="0"/>
    <n v="0"/>
    <n v="0"/>
    <n v="0"/>
    <n v="0"/>
    <n v="0"/>
    <n v="53.470103064813486"/>
    <m/>
    <n v="0"/>
    <n v="0"/>
    <n v="0"/>
    <n v="0"/>
    <n v="7.1427325868056499"/>
    <n v="1.5844751112285778"/>
    <n v="0"/>
    <n v="0"/>
    <m/>
    <m/>
    <m/>
    <n v="-4536.8957837487251"/>
    <n v="0"/>
    <n v="0"/>
    <n v="873.50949000000037"/>
    <n v="0"/>
    <n v="0"/>
    <n v="0"/>
    <n v="806.17901353318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10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6.1020000000000003"/>
    <n v="6.1020000000000003"/>
    <n v="6.1020000000000003"/>
    <n v="6.1020000000000003"/>
    <m/>
    <n v="707.13"/>
    <n v="119.97"/>
    <m/>
    <n v="5046.9642000000003"/>
    <n v="5046.9642000000003"/>
    <n v="4448.5410600000005"/>
    <n v="0"/>
    <n v="371.58055518570109"/>
    <n v="0"/>
    <n v="0"/>
    <n v="0"/>
    <n v="656.20426431439591"/>
    <n v="3108.1327127466848"/>
    <n v="732.08038738367395"/>
    <n v="0"/>
    <n v="0"/>
    <n v="0"/>
    <n v="0"/>
    <n v="0"/>
    <n v="57.421198495842432"/>
    <m/>
    <n v="13.12722497986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44726721624319"/>
    <n v="0"/>
    <n v="0"/>
    <n v="0"/>
    <n v="3310.94"/>
    <n v="33"/>
    <m/>
    <m/>
    <m/>
    <m/>
    <m/>
    <m/>
    <m/>
    <m/>
    <m/>
    <n v="840.52765459991713"/>
    <m/>
    <m/>
    <m/>
    <m/>
    <m/>
    <m/>
    <m/>
    <m/>
    <m/>
    <m/>
    <m/>
    <m/>
    <n v="4447.0829999999996"/>
    <n v="-599.91120000000137"/>
    <m/>
    <m/>
    <m/>
    <m/>
    <n v="-598.42314000000033"/>
    <n v="0"/>
    <n v="31"/>
    <n v="-46.120891719941483"/>
    <n v="0"/>
    <n v="0"/>
    <n v="0"/>
    <n v="0"/>
    <n v="0"/>
    <n v="0"/>
    <n v="0"/>
    <n v="-3.5108108537802991"/>
    <n v="0"/>
    <n v="0"/>
    <n v="0"/>
    <n v="0"/>
    <n v="0"/>
    <n v="0"/>
    <n v="0"/>
    <n v="0"/>
    <n v="-36.631252823789339"/>
    <m/>
    <n v="0"/>
    <n v="0"/>
    <n v="0"/>
    <n v="0"/>
    <n v="-4.8933371780271813"/>
    <n v="-1.0854908643445356"/>
    <n v="0"/>
    <n v="0"/>
    <m/>
    <m/>
    <m/>
    <n v="3108.1327127466848"/>
    <n v="0"/>
    <n v="0"/>
    <n v="-598.42313999999988"/>
    <n v="0"/>
    <n v="0"/>
    <n v="0"/>
    <n v="-552.29643433024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11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4.2300000000000004"/>
    <n v="4.2300000000000004"/>
    <n v="4.2300000000000004"/>
    <n v="4.2300000000000004"/>
    <m/>
    <n v="636.83000000000004"/>
    <n v="119.97"/>
    <m/>
    <n v="3201.2640000000006"/>
    <n v="3201.2640000000006"/>
    <n v="2815.1919000000003"/>
    <n v="0"/>
    <n v="0"/>
    <n v="0"/>
    <n v="0"/>
    <n v="0"/>
    <n v="454.89086169287037"/>
    <n v="2154.6052728479967"/>
    <n v="507.48935408602773"/>
    <n v="0"/>
    <n v="0"/>
    <n v="0"/>
    <n v="0"/>
    <n v="0"/>
    <n v="0"/>
    <m/>
    <n v="9.0999937176049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177309132203987"/>
    <n v="0"/>
    <n v="0"/>
    <n v="0"/>
    <n v="133.94999999999999"/>
    <n v="10"/>
    <m/>
    <m/>
    <m/>
    <m/>
    <m/>
    <m/>
    <m/>
    <n v="1829.8556999999998"/>
    <m/>
    <n v="582.66666321823175"/>
    <m/>
    <m/>
    <m/>
    <m/>
    <m/>
    <m/>
    <m/>
    <m/>
    <m/>
    <m/>
    <m/>
    <m/>
    <n v="985.33620000000008"/>
    <n v="-135.1361999999998"/>
    <m/>
    <m/>
    <m/>
    <m/>
    <n v="-386.07210000000043"/>
    <n v="0"/>
    <n v="31"/>
    <n v="-3.1862268547472468"/>
    <n v="0"/>
    <n v="0"/>
    <n v="0"/>
    <n v="0"/>
    <n v="0"/>
    <n v="0"/>
    <n v="0"/>
    <n v="-2.4337479369863786"/>
    <n v="0"/>
    <n v="0"/>
    <n v="0"/>
    <n v="0"/>
    <n v="0"/>
    <n v="0"/>
    <n v="0"/>
    <n v="0"/>
    <n v="0"/>
    <m/>
    <n v="0"/>
    <n v="0"/>
    <n v="0"/>
    <n v="0"/>
    <n v="0"/>
    <n v="-0.75247891776096232"/>
    <n v="0"/>
    <n v="0"/>
    <m/>
    <m/>
    <m/>
    <n v="2154.6052728479967"/>
    <n v="0"/>
    <n v="0"/>
    <n v="-386.07210000000032"/>
    <n v="0"/>
    <n v="0"/>
    <n v="0"/>
    <n v="-382.86036008143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12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8.7029999999999994"/>
    <n v="8.7029999999999994"/>
    <n v="8.7029999999999994"/>
    <n v="8.7029999999999994"/>
    <m/>
    <n v="636.83000000000004"/>
    <n v="119.97"/>
    <m/>
    <n v="6586.4303999999993"/>
    <n v="6586.4303999999993"/>
    <n v="5792.1075899999987"/>
    <n v="0"/>
    <n v="0"/>
    <n v="0"/>
    <n v="0"/>
    <n v="0"/>
    <n v="935.91375161065014"/>
    <n v="4432.9857422213036"/>
    <n v="1044.1323519174227"/>
    <n v="0"/>
    <n v="0"/>
    <n v="0"/>
    <n v="0"/>
    <n v="0"/>
    <n v="0"/>
    <m/>
    <n v="18.7227530317532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.67331474647071"/>
    <n v="0"/>
    <n v="0"/>
    <n v="0"/>
    <n v="473.6"/>
    <n v="23"/>
    <m/>
    <m/>
    <m/>
    <m/>
    <m/>
    <m/>
    <m/>
    <n v="2316.8256299999994"/>
    <m/>
    <n v="1198.8056666638934"/>
    <m/>
    <m/>
    <m/>
    <m/>
    <m/>
    <m/>
    <m/>
    <m/>
    <m/>
    <m/>
    <m/>
    <m/>
    <n v="3474.0839999999998"/>
    <n v="-477.80424000000085"/>
    <m/>
    <m/>
    <m/>
    <m/>
    <n v="-794.3228100000008"/>
    <n v="0"/>
    <n v="31"/>
    <n v="-6.5554922734904721"/>
    <n v="0"/>
    <n v="0"/>
    <n v="0"/>
    <n v="0"/>
    <n v="0"/>
    <n v="0"/>
    <n v="0"/>
    <n v="-5.0073069256719691"/>
    <n v="0"/>
    <n v="0"/>
    <n v="0"/>
    <n v="0"/>
    <n v="0"/>
    <n v="0"/>
    <n v="0"/>
    <n v="0"/>
    <n v="0"/>
    <m/>
    <n v="0"/>
    <n v="0"/>
    <n v="0"/>
    <n v="0"/>
    <n v="0"/>
    <n v="-1.5481853478188299"/>
    <n v="0"/>
    <n v="0"/>
    <m/>
    <m/>
    <m/>
    <n v="4432.9857422213036"/>
    <n v="0"/>
    <n v="0"/>
    <n v="-794.32281000000057"/>
    <n v="0"/>
    <n v="0"/>
    <n v="0"/>
    <n v="-787.71482595479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13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9.3420000000000005"/>
    <n v="9.3420000000000005"/>
    <n v="9.3420000000000005"/>
    <n v="9.3420000000000005"/>
    <m/>
    <n v="636.83000000000004"/>
    <n v="119.97"/>
    <m/>
    <n v="7070.0256000000008"/>
    <n v="7070.0256000000008"/>
    <n v="6217.3812600000001"/>
    <n v="0"/>
    <n v="0"/>
    <n v="0"/>
    <n v="0"/>
    <n v="0"/>
    <n v="1004.6313073131903"/>
    <n v="4758.4686664174906"/>
    <n v="1120.7956373219079"/>
    <n v="0"/>
    <n v="0"/>
    <n v="0"/>
    <n v="0"/>
    <n v="0"/>
    <n v="0"/>
    <m/>
    <n v="20.097432933774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.02988697708028"/>
    <n v="0"/>
    <n v="0"/>
    <n v="0"/>
    <n v="1292.3499999999999"/>
    <n v="60"/>
    <m/>
    <m/>
    <m/>
    <m/>
    <m/>
    <m/>
    <m/>
    <n v="621.61667999999963"/>
    <m/>
    <n v="1286.8255242989881"/>
    <m/>
    <m/>
    <m/>
    <m/>
    <m/>
    <m/>
    <m/>
    <m/>
    <m/>
    <m/>
    <m/>
    <m/>
    <n v="5594.5666000000001"/>
    <n v="-768.48644000000058"/>
    <m/>
    <m/>
    <m/>
    <m/>
    <n v="-852.64434000000097"/>
    <n v="0"/>
    <n v="31"/>
    <n v="-7.0368159047402514"/>
    <n v="0"/>
    <n v="0"/>
    <n v="0"/>
    <n v="0"/>
    <n v="0"/>
    <n v="0"/>
    <n v="0"/>
    <n v="-5.3749582097699431"/>
    <n v="0"/>
    <n v="0"/>
    <n v="0"/>
    <n v="0"/>
    <n v="0"/>
    <n v="0"/>
    <n v="0"/>
    <n v="0"/>
    <n v="0"/>
    <m/>
    <n v="0"/>
    <n v="0"/>
    <n v="0"/>
    <n v="0"/>
    <n v="0"/>
    <n v="-1.6618576949699531"/>
    <n v="0"/>
    <n v="0"/>
    <m/>
    <m/>
    <m/>
    <n v="4758.4686664174906"/>
    <n v="0"/>
    <n v="0"/>
    <n v="-852.64434000000074"/>
    <n v="0"/>
    <n v="0"/>
    <n v="0"/>
    <n v="-845.55117822241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14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4.3019999999999996"/>
    <n v="4.3019999999999996"/>
    <n v="4.3019999999999996"/>
    <n v="4.3019999999999996"/>
    <m/>
    <n v="636.83000000000004"/>
    <n v="119.97"/>
    <m/>
    <n v="3255.7536"/>
    <n v="3255.7536"/>
    <n v="2863.1100599999995"/>
    <n v="0"/>
    <n v="0"/>
    <n v="0"/>
    <n v="0"/>
    <n v="0"/>
    <n v="462.63368487062127"/>
    <n v="2191.2794051517922"/>
    <n v="516.12747075132165"/>
    <n v="0"/>
    <n v="0"/>
    <n v="0"/>
    <n v="0"/>
    <n v="0"/>
    <n v="0"/>
    <m/>
    <n v="9.2548872276918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.45692290466701"/>
    <n v="0"/>
    <n v="0"/>
    <n v="0"/>
    <n v="954.15"/>
    <n v="48"/>
    <m/>
    <m/>
    <m/>
    <m/>
    <m/>
    <m/>
    <m/>
    <m/>
    <m/>
    <n v="592.58439365598861"/>
    <m/>
    <m/>
    <m/>
    <m/>
    <m/>
    <m/>
    <m/>
    <m/>
    <m/>
    <m/>
    <m/>
    <m/>
    <n v="2861.7789999999995"/>
    <n v="-394.00460000000112"/>
    <m/>
    <m/>
    <m/>
    <m/>
    <n v="-392.64354000000037"/>
    <n v="0"/>
    <n v="31"/>
    <n v="-3.2404605033386815"/>
    <n v="0"/>
    <n v="0"/>
    <n v="0"/>
    <n v="0"/>
    <n v="0"/>
    <n v="0"/>
    <n v="0"/>
    <n v="-2.4751734337861535"/>
    <n v="0"/>
    <n v="0"/>
    <n v="0"/>
    <n v="0"/>
    <n v="0"/>
    <n v="0"/>
    <n v="0"/>
    <n v="0"/>
    <n v="0"/>
    <m/>
    <n v="0"/>
    <n v="0"/>
    <n v="0"/>
    <n v="0"/>
    <n v="0"/>
    <n v="-0.76528706955263814"/>
    <n v="0"/>
    <n v="0"/>
    <m/>
    <m/>
    <m/>
    <n v="2191.2794051517922"/>
    <n v="0"/>
    <n v="0"/>
    <n v="-392.64354000000048"/>
    <n v="0"/>
    <n v="0"/>
    <n v="0"/>
    <n v="-389.37713216793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15"/>
    <s v="Regular"/>
    <s v="Convencional"/>
    <s v="B3"/>
    <s v="Industrial"/>
    <s v="Não se aplica"/>
    <s v="Não se aplica"/>
    <s v="Não se aplica"/>
    <s v="Não se aplica"/>
    <s v="CATIVO"/>
    <x v="4"/>
    <n v="0"/>
    <n v="0"/>
    <n v="97.156999999999996"/>
    <n v="97.156999999999996"/>
    <n v="97.156999999999996"/>
    <n v="97.156999999999996"/>
    <m/>
    <n v="707.13"/>
    <n v="119.97"/>
    <m/>
    <n v="80358.554699999993"/>
    <n v="80358.554699999993"/>
    <n v="70830.367709999991"/>
    <n v="0"/>
    <n v="5916.3638151716086"/>
    <n v="0"/>
    <n v="0"/>
    <n v="0"/>
    <n v="10448.187103899338"/>
    <n v="49488.176003331631"/>
    <n v="11656.298622916356"/>
    <n v="0"/>
    <n v="0"/>
    <n v="0"/>
    <n v="0"/>
    <n v="0"/>
    <n v="914.26931862677202"/>
    <m/>
    <n v="209.01373277100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26.7143790443361"/>
    <n v="0"/>
    <n v="0"/>
    <n v="0"/>
    <n v="28208.44"/>
    <n v="65"/>
    <m/>
    <m/>
    <m/>
    <m/>
    <m/>
    <m/>
    <m/>
    <m/>
    <m/>
    <n v="13383.013001960691"/>
    <m/>
    <m/>
    <m/>
    <m/>
    <m/>
    <m/>
    <m/>
    <m/>
    <m/>
    <m/>
    <m/>
    <m/>
    <n v="70832.554799999998"/>
    <n v="-9526.0298999999795"/>
    <m/>
    <m/>
    <m/>
    <m/>
    <n v="-9528.1869900000038"/>
    <n v="0"/>
    <n v="31"/>
    <n v="-734.34406372243757"/>
    <n v="0"/>
    <n v="0"/>
    <n v="0"/>
    <n v="0"/>
    <n v="0"/>
    <n v="0"/>
    <n v="0"/>
    <n v="-55.899680452430403"/>
    <n v="0"/>
    <n v="0"/>
    <n v="0"/>
    <n v="0"/>
    <n v="0"/>
    <n v="0"/>
    <n v="0"/>
    <n v="0"/>
    <n v="-583.24854647671236"/>
    <m/>
    <n v="0"/>
    <n v="0"/>
    <n v="0"/>
    <n v="0"/>
    <n v="-77.9124811874118"/>
    <n v="-17.283355605886925"/>
    <n v="0"/>
    <n v="0"/>
    <m/>
    <m/>
    <m/>
    <n v="49488.176003331631"/>
    <n v="0"/>
    <n v="0"/>
    <n v="-9528.186990000002"/>
    <n v="0"/>
    <n v="0"/>
    <n v="0"/>
    <n v="-8793.7503556577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16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2"/>
    <n v="0.2"/>
    <n v="0.2"/>
    <n v="0.2"/>
    <m/>
    <n v="707.13"/>
    <n v="119.97"/>
    <m/>
    <n v="165.42000000000002"/>
    <n v="165.42000000000002"/>
    <n v="145.80599999999998"/>
    <n v="0"/>
    <n v="12.17897591562442"/>
    <n v="0"/>
    <n v="0"/>
    <n v="0"/>
    <n v="21.507842160419401"/>
    <n v="101.8725897327658"/>
    <n v="23.9947685147058"/>
    <n v="0"/>
    <n v="0"/>
    <n v="0"/>
    <n v="0"/>
    <n v="0"/>
    <n v="1.8820451817713022"/>
    <m/>
    <n v="0.4302597502413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544827012862399"/>
    <n v="0"/>
    <n v="0"/>
    <n v="0"/>
    <n v="588.79"/>
    <n v="2"/>
    <m/>
    <m/>
    <m/>
    <m/>
    <m/>
    <m/>
    <m/>
    <m/>
    <m/>
    <n v="27.54925121599204"/>
    <m/>
    <m/>
    <m/>
    <m/>
    <m/>
    <m/>
    <m/>
    <m/>
    <m/>
    <m/>
    <m/>
    <m/>
    <n v="145.80599999999998"/>
    <n v="-19.644000000000005"/>
    <m/>
    <m/>
    <m/>
    <m/>
    <n v="-19.614000000000011"/>
    <n v="0"/>
    <n v="31"/>
    <n v="-1.5116647564713617"/>
    <n v="0"/>
    <n v="0"/>
    <n v="0"/>
    <n v="0"/>
    <n v="0"/>
    <n v="0"/>
    <n v="0"/>
    <n v="-0.1150708244437979"/>
    <n v="0"/>
    <n v="0"/>
    <n v="0"/>
    <n v="0"/>
    <n v="0"/>
    <n v="0"/>
    <n v="0"/>
    <n v="0"/>
    <n v="-1.2006310332280989"/>
    <m/>
    <n v="0"/>
    <n v="0"/>
    <n v="0"/>
    <n v="0"/>
    <n v="-0.16038469937814415"/>
    <n v="-3.5578199421322065E-2"/>
    <n v="0"/>
    <n v="0"/>
    <m/>
    <m/>
    <m/>
    <n v="101.8725897327658"/>
    <n v="0"/>
    <n v="0"/>
    <n v="-19.614000000000019"/>
    <n v="0"/>
    <n v="0"/>
    <n v="0"/>
    <n v="-18.102144684701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17"/>
    <s v="Regular"/>
    <s v="Verde"/>
    <s v="A4"/>
    <s v="Industrial"/>
    <s v="Não se aplica"/>
    <s v="Não se aplica"/>
    <s v="Não se aplica"/>
    <s v="Ponta"/>
    <s v="CATIVO"/>
    <x v="4"/>
    <n v="0"/>
    <n v="0"/>
    <n v="91.927000000000007"/>
    <n v="91.927000000000007"/>
    <n v="91.927000000000007"/>
    <n v="91.927000000000007"/>
    <m/>
    <n v="3312.96"/>
    <n v="119.97"/>
    <m/>
    <n v="315578.95611000003"/>
    <n v="315578.95611000003"/>
    <n v="273924.99387000006"/>
    <n v="0"/>
    <n v="4870.1587276308837"/>
    <n v="0"/>
    <n v="0"/>
    <n v="0"/>
    <n v="68728.21076580105"/>
    <n v="229191.55166972685"/>
    <n v="11028.835426256801"/>
    <n v="0"/>
    <n v="0"/>
    <n v="0"/>
    <n v="0"/>
    <n v="0"/>
    <n v="865.05383712345247"/>
    <m/>
    <n v="77.285969879412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8.5039803913171"/>
    <n v="0"/>
    <n v="0"/>
    <n v="0"/>
    <n v="0"/>
    <n v="0"/>
    <m/>
    <m/>
    <m/>
    <m/>
    <m/>
    <m/>
    <m/>
    <m/>
    <m/>
    <n v="11847.339406648118"/>
    <m/>
    <m/>
    <m/>
    <m/>
    <m/>
    <m/>
    <m/>
    <m/>
    <m/>
    <m/>
    <m/>
    <m/>
    <n v="273933.93330000003"/>
    <n v="-41645.052810000023"/>
    <m/>
    <m/>
    <m/>
    <m/>
    <n v="-41653.962239999993"/>
    <n v="0"/>
    <n v="31"/>
    <n v="-927.92877157815383"/>
    <n v="0"/>
    <n v="0"/>
    <n v="0"/>
    <n v="0"/>
    <n v="0"/>
    <n v="0"/>
    <n v="0"/>
    <n v="-367.70829060331744"/>
    <n v="0"/>
    <n v="0"/>
    <n v="0"/>
    <n v="0"/>
    <n v="0"/>
    <n v="0"/>
    <n v="0"/>
    <n v="0"/>
    <n v="-480.11127911328003"/>
    <m/>
    <n v="0"/>
    <n v="0"/>
    <n v="0"/>
    <n v="0"/>
    <n v="-73.71842129867332"/>
    <n v="-6.3907805628982004"/>
    <n v="0"/>
    <n v="0"/>
    <m/>
    <m/>
    <m/>
    <n v="229191.55166972685"/>
    <n v="0"/>
    <n v="0"/>
    <n v="-41653.962239999964"/>
    <n v="0"/>
    <n v="0"/>
    <n v="0"/>
    <n v="-40725.956213737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18"/>
    <s v="Sistema de Compensação"/>
    <s v="Verde"/>
    <s v="A4"/>
    <s v="Industrial"/>
    <s v="Não se aplica"/>
    <s v="Não se aplica"/>
    <s v="Não se aplica"/>
    <s v="Ponta"/>
    <s v="CATIVO"/>
    <x v="4"/>
    <n v="0"/>
    <n v="0"/>
    <n v="2.1549999999999998"/>
    <n v="2.1549999999999998"/>
    <n v="2.1549999999999998"/>
    <n v="2.1549999999999998"/>
    <m/>
    <n v="3312.96"/>
    <n v="119.97"/>
    <m/>
    <n v="7397.9641499999998"/>
    <n v="7397.9641499999998"/>
    <n v="6421.4905499999995"/>
    <n v="0"/>
    <n v="114.16876497704214"/>
    <n v="0"/>
    <n v="0"/>
    <n v="0"/>
    <n v="1611.1620546770941"/>
    <n v="5372.8261973986018"/>
    <n v="258.54363074595494"/>
    <n v="0"/>
    <n v="0"/>
    <n v="0"/>
    <n v="0"/>
    <n v="0"/>
    <n v="20.279036833585778"/>
    <m/>
    <n v="1.81177744395154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187791157584691"/>
    <n v="0"/>
    <n v="0"/>
    <n v="0"/>
    <n v="0"/>
    <n v="0"/>
    <m/>
    <m/>
    <m/>
    <m/>
    <m/>
    <m/>
    <m/>
    <m/>
    <m/>
    <n v="277.73142190353963"/>
    <m/>
    <m/>
    <m/>
    <m/>
    <m/>
    <m/>
    <m/>
    <m/>
    <m/>
    <m/>
    <m/>
    <m/>
    <n v="6436.3896000000004"/>
    <n v="-961.60455000000002"/>
    <m/>
    <m/>
    <m/>
    <m/>
    <n v="-976.47359999999969"/>
    <n v="0"/>
    <n v="31"/>
    <n v="-21.75298337540562"/>
    <n v="0"/>
    <n v="0"/>
    <n v="0"/>
    <n v="0"/>
    <n v="0"/>
    <n v="0"/>
    <n v="0"/>
    <n v="-8.6200068124721838"/>
    <n v="0"/>
    <n v="0"/>
    <n v="0"/>
    <n v="0"/>
    <n v="0"/>
    <n v="0"/>
    <n v="0"/>
    <n v="0"/>
    <n v="-11.255015463238436"/>
    <m/>
    <n v="0"/>
    <n v="0"/>
    <n v="0"/>
    <n v="0"/>
    <n v="-1.7281451357995046"/>
    <n v="-0.1498159638957608"/>
    <n v="0"/>
    <n v="0"/>
    <m/>
    <m/>
    <m/>
    <n v="5372.8261973986018"/>
    <n v="0"/>
    <n v="0"/>
    <n v="-976.47360000000026"/>
    <n v="0"/>
    <n v="0"/>
    <n v="0"/>
    <n v="-954.71880558055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19"/>
    <s v="Regular"/>
    <s v="Verde"/>
    <s v="A4"/>
    <s v="Industrial"/>
    <s v="Não se aplica"/>
    <s v="Não se aplica"/>
    <s v="Não se aplica"/>
    <s v="Fora ponta"/>
    <s v="CATIVO"/>
    <x v="4"/>
    <n v="0"/>
    <n v="0"/>
    <n v="2232.203"/>
    <n v="2232.203"/>
    <n v="2232.203"/>
    <n v="2232.203"/>
    <m/>
    <n v="72.13"/>
    <n v="119.97"/>
    <m/>
    <n v="428806.19629999995"/>
    <n v="428806.19629999995"/>
    <n v="415212.08002999995"/>
    <n v="0"/>
    <n v="118258.86760466284"/>
    <n v="0"/>
    <n v="0"/>
    <n v="0"/>
    <n v="0"/>
    <n v="0"/>
    <n v="267805.97131415916"/>
    <n v="0"/>
    <n v="0"/>
    <n v="0"/>
    <n v="0"/>
    <n v="0"/>
    <n v="21005.534504427229"/>
    <m/>
    <n v="1876.684475972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75.194888786089"/>
    <n v="0"/>
    <n v="0"/>
    <n v="0"/>
    <n v="0"/>
    <n v="0"/>
    <m/>
    <m/>
    <m/>
    <m/>
    <m/>
    <m/>
    <m/>
    <m/>
    <m/>
    <n v="287681.16620294523"/>
    <m/>
    <m/>
    <m/>
    <m/>
    <m/>
    <m/>
    <m/>
    <m/>
    <m/>
    <m/>
    <m/>
    <m/>
    <n v="415211.522"/>
    <n v="-13594.704299999983"/>
    <m/>
    <m/>
    <m/>
    <m/>
    <n v="-13594.116269999975"/>
    <n v="0"/>
    <n v="31"/>
    <n v="-13603.466210074374"/>
    <n v="0"/>
    <n v="0"/>
    <n v="0"/>
    <n v="0"/>
    <n v="0"/>
    <n v="0"/>
    <n v="0"/>
    <n v="0"/>
    <n v="0"/>
    <n v="0"/>
    <n v="0"/>
    <n v="0"/>
    <n v="0"/>
    <n v="0"/>
    <n v="0"/>
    <n v="0"/>
    <n v="-11658.227045052074"/>
    <m/>
    <n v="0"/>
    <n v="0"/>
    <n v="0"/>
    <n v="0"/>
    <n v="-1790.0560355299567"/>
    <n v="-155.18312949234769"/>
    <n v="0"/>
    <n v="0"/>
    <m/>
    <m/>
    <m/>
    <n v="0"/>
    <n v="0"/>
    <n v="0"/>
    <n v="-13594.1162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20"/>
    <s v="Sistema de Compensação"/>
    <s v="Verde"/>
    <s v="A4"/>
    <s v="Industrial"/>
    <s v="Não se aplica"/>
    <s v="Não se aplica"/>
    <s v="Não se aplica"/>
    <s v="Fora ponta"/>
    <s v="CATIVO"/>
    <x v="4"/>
    <n v="0"/>
    <n v="0"/>
    <n v="5.4139999999999997"/>
    <n v="5.4139999999999997"/>
    <n v="5.4139999999999997"/>
    <n v="5.4139999999999997"/>
    <m/>
    <n v="72.13"/>
    <n v="119.97"/>
    <m/>
    <n v="1040.0293999999999"/>
    <n v="1040.0293999999999"/>
    <n v="1007.05814"/>
    <n v="0"/>
    <n v="286.82584389127896"/>
    <n v="0"/>
    <n v="0"/>
    <n v="0"/>
    <n v="0"/>
    <n v="0"/>
    <n v="649.53838369308596"/>
    <n v="0"/>
    <n v="0"/>
    <n v="0"/>
    <n v="0"/>
    <n v="0"/>
    <n v="50.946963070549145"/>
    <m/>
    <n v="4.55172300768151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205429850191891"/>
    <n v="0"/>
    <n v="0"/>
    <n v="0"/>
    <n v="0"/>
    <n v="0"/>
    <m/>
    <m/>
    <m/>
    <m/>
    <m/>
    <m/>
    <m/>
    <m/>
    <m/>
    <n v="697.74381354327784"/>
    <m/>
    <m/>
    <m/>
    <m/>
    <m/>
    <m/>
    <m/>
    <m/>
    <m/>
    <m/>
    <m/>
    <m/>
    <n v="1006.3141000000001"/>
    <n v="-33.745299999999816"/>
    <m/>
    <m/>
    <m/>
    <m/>
    <n v="-32.971259999999937"/>
    <n v="0"/>
    <n v="31"/>
    <n v="-32.99393740683206"/>
    <n v="0"/>
    <n v="0"/>
    <n v="0"/>
    <n v="0"/>
    <n v="0"/>
    <n v="0"/>
    <n v="0"/>
    <n v="0"/>
    <n v="0"/>
    <n v="0"/>
    <n v="0"/>
    <n v="0"/>
    <n v="0"/>
    <n v="0"/>
    <n v="0"/>
    <n v="0"/>
    <n v="-28.275941400451416"/>
    <m/>
    <n v="0"/>
    <n v="0"/>
    <n v="0"/>
    <n v="0"/>
    <n v="-4.341613812166365"/>
    <n v="-0.37638219421422292"/>
    <n v="0"/>
    <n v="0"/>
    <m/>
    <m/>
    <m/>
    <n v="0"/>
    <n v="0"/>
    <n v="0"/>
    <n v="-32.971259999999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21"/>
    <s v="Regular"/>
    <s v="Verde"/>
    <s v="A4"/>
    <s v="Industrial"/>
    <s v="Não se aplica"/>
    <s v="Não se aplica"/>
    <s v="Não se aplica"/>
    <s v="Não se aplica"/>
    <s v="CATIVO"/>
    <x v="4"/>
    <n v="10438"/>
    <n v="10438"/>
    <n v="0"/>
    <n v="0"/>
    <n v="0"/>
    <n v="0"/>
    <n v="46.29"/>
    <m/>
    <m/>
    <n v="483175.02"/>
    <m/>
    <n v="483175.02"/>
    <n v="429523.7"/>
    <n v="0"/>
    <n v="0"/>
    <n v="0"/>
    <n v="0"/>
    <n v="0"/>
    <n v="186976.02315475896"/>
    <n v="296161.844693312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70934.46"/>
    <n v="26"/>
    <m/>
    <m/>
    <m/>
    <m/>
    <m/>
    <m/>
    <m/>
    <m/>
    <m/>
    <n v="0"/>
    <m/>
    <m/>
    <m/>
    <m/>
    <m/>
    <m/>
    <m/>
    <m/>
    <m/>
    <m/>
    <m/>
    <m/>
    <n v="429523.7"/>
    <n v="-53651.350000000035"/>
    <m/>
    <m/>
    <m/>
    <m/>
    <n v="-53651.320000000007"/>
    <n v="0"/>
    <n v="31"/>
    <n v="-1000.3553576033155"/>
    <n v="0"/>
    <n v="0"/>
    <n v="0"/>
    <n v="0"/>
    <m/>
    <m/>
    <m/>
    <n v="-1000.35535760331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6161.8446933126"/>
    <m/>
    <n v="0"/>
    <n v="0"/>
    <n v="-53651.320000000007"/>
    <m/>
    <n v="0"/>
    <m/>
    <n v="-52626.173309130594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122"/>
    <s v="Sistema de Compensação"/>
    <s v="Verde"/>
    <s v="A4"/>
    <s v="Industrial"/>
    <s v="Não se aplica"/>
    <s v="Não se aplica"/>
    <s v="Não se aplica"/>
    <s v="Não se aplica"/>
    <s v="CATIVO"/>
    <x v="4"/>
    <n v="57"/>
    <n v="57"/>
    <n v="0"/>
    <n v="0"/>
    <n v="0"/>
    <n v="0"/>
    <n v="46.29"/>
    <m/>
    <m/>
    <n v="2638.5299999999997"/>
    <m/>
    <n v="2638.5299999999997"/>
    <n v="2345.5499999999997"/>
    <n v="0"/>
    <n v="0"/>
    <n v="0"/>
    <n v="0"/>
    <n v="0"/>
    <n v="1021.0417052904064"/>
    <n v="1617.28541363468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773.53"/>
    <n v="1"/>
    <m/>
    <m/>
    <m/>
    <m/>
    <m/>
    <m/>
    <m/>
    <m/>
    <m/>
    <n v="0"/>
    <m/>
    <m/>
    <m/>
    <m/>
    <m/>
    <m/>
    <m/>
    <m/>
    <m/>
    <m/>
    <m/>
    <m/>
    <n v="2345.5499999999997"/>
    <n v="-293.01000000000067"/>
    <m/>
    <m/>
    <m/>
    <m/>
    <n v="-292.98"/>
    <n v="0"/>
    <n v="31"/>
    <n v="-5.4627567908976289"/>
    <n v="0"/>
    <n v="0"/>
    <n v="0"/>
    <n v="0"/>
    <m/>
    <m/>
    <m/>
    <n v="-5.46275679089762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17.2854136346828"/>
    <m/>
    <n v="0"/>
    <n v="0"/>
    <n v="-292.98"/>
    <m/>
    <n v="0"/>
    <m/>
    <n v="-287.3818622935853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123"/>
    <s v="Regular"/>
    <s v="Branca"/>
    <s v="B3"/>
    <s v="Industrial"/>
    <s v="Não se aplica"/>
    <s v="Não se aplica"/>
    <s v="Não se aplica"/>
    <s v="Ponta"/>
    <s v="CATIVO"/>
    <x v="4"/>
    <n v="0"/>
    <n v="0"/>
    <n v="7.2999999999999995E-2"/>
    <n v="7.2999999999999995E-2"/>
    <n v="7.2999999999999995E-2"/>
    <n v="7.2999999999999995E-2"/>
    <m/>
    <n v="2187.66"/>
    <n v="119.97"/>
    <m/>
    <n v="168.45698999999999"/>
    <n v="168.45698999999999"/>
    <n v="145.33935"/>
    <n v="0"/>
    <n v="4.4453262092029133"/>
    <n v="0"/>
    <n v="0"/>
    <n v="0"/>
    <n v="26.688554339708613"/>
    <n v="126.4238700292169"/>
    <n v="8.7580905078676157"/>
    <n v="0"/>
    <n v="0"/>
    <n v="0"/>
    <n v="0"/>
    <n v="0"/>
    <n v="0.68694649134652519"/>
    <m/>
    <n v="0.157044808838100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973861859694775"/>
    <n v="0"/>
    <n v="0"/>
    <n v="0"/>
    <n v="0"/>
    <n v="0"/>
    <m/>
    <m/>
    <m/>
    <m/>
    <m/>
    <m/>
    <m/>
    <m/>
    <m/>
    <n v="10.055476693837093"/>
    <m/>
    <m/>
    <m/>
    <m/>
    <m/>
    <m/>
    <m/>
    <m/>
    <m/>
    <m/>
    <m/>
    <m/>
    <n v="139.3665"/>
    <n v="-29.120489999999961"/>
    <m/>
    <m/>
    <m/>
    <m/>
    <n v="-23.117639999999987"/>
    <n v="0"/>
    <n v="31"/>
    <n v="-0.65254535171290939"/>
    <n v="0"/>
    <n v="0"/>
    <n v="0"/>
    <n v="0"/>
    <n v="0"/>
    <n v="0"/>
    <n v="0"/>
    <n v="-0.14278856652284944"/>
    <n v="0"/>
    <n v="0"/>
    <n v="0"/>
    <n v="0"/>
    <n v="0"/>
    <n v="0"/>
    <n v="0"/>
    <n v="0"/>
    <n v="-0.43823032712825682"/>
    <m/>
    <n v="0"/>
    <n v="0"/>
    <n v="0"/>
    <n v="0"/>
    <n v="-5.8540415273022561E-2"/>
    <n v="-1.298604278878257E-2"/>
    <n v="0"/>
    <n v="0"/>
    <m/>
    <m/>
    <m/>
    <n v="126.4238700292169"/>
    <n v="0"/>
    <n v="0"/>
    <n v="-23.117639999999994"/>
    <n v="0"/>
    <n v="0"/>
    <n v="0"/>
    <n v="-22.464759096358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24"/>
    <s v="Regular"/>
    <s v="Branca"/>
    <s v="B3"/>
    <s v="Industrial"/>
    <s v="Não se aplica"/>
    <s v="Não se aplica"/>
    <s v="Não se aplica"/>
    <s v="Fora ponta"/>
    <s v="CATIVO"/>
    <x v="4"/>
    <n v="0"/>
    <n v="0"/>
    <n v="21.280999999999999"/>
    <n v="21.280999999999999"/>
    <n v="21.280999999999999"/>
    <n v="21.280999999999999"/>
    <m/>
    <n v="509.72"/>
    <n v="119.97"/>
    <m/>
    <n v="13400.43289"/>
    <n v="13400.43289"/>
    <n v="11933.53356"/>
    <n v="0"/>
    <n v="1295.9039323020163"/>
    <n v="0"/>
    <n v="0"/>
    <n v="0"/>
    <n v="1556.0523969954475"/>
    <n v="7371.0372200742622"/>
    <n v="2553.1633438072704"/>
    <n v="0"/>
    <n v="0"/>
    <n v="0"/>
    <n v="0"/>
    <n v="0"/>
    <n v="200.25901756637538"/>
    <m/>
    <n v="45.781788724432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8.21473183036233"/>
    <n v="0"/>
    <n v="0"/>
    <n v="0"/>
    <n v="0"/>
    <n v="0"/>
    <m/>
    <m/>
    <m/>
    <m/>
    <m/>
    <m/>
    <m/>
    <m/>
    <m/>
    <n v="2931.3780756376327"/>
    <m/>
    <m/>
    <m/>
    <m/>
    <m/>
    <m/>
    <m/>
    <m/>
    <m/>
    <m/>
    <m/>
    <m/>
    <n v="11932.972800000001"/>
    <n v="-1467.4900899999993"/>
    <m/>
    <m/>
    <m/>
    <m/>
    <n v="-1466.89933"/>
    <n v="0"/>
    <n v="31"/>
    <n v="-156.92973756800166"/>
    <n v="0"/>
    <n v="0"/>
    <n v="0"/>
    <n v="0"/>
    <n v="0"/>
    <n v="0"/>
    <n v="0"/>
    <n v="-8.325160230608617"/>
    <n v="0"/>
    <n v="0"/>
    <n v="0"/>
    <n v="0"/>
    <n v="0"/>
    <n v="0"/>
    <n v="0"/>
    <n v="0"/>
    <n v="-127.75314509063605"/>
    <m/>
    <n v="0"/>
    <n v="0"/>
    <n v="0"/>
    <n v="0"/>
    <n v="-17.06573393733143"/>
    <n v="-3.7856983094257757"/>
    <n v="0"/>
    <n v="0"/>
    <m/>
    <m/>
    <m/>
    <n v="7371.0372200742622"/>
    <n v="0"/>
    <n v="0"/>
    <n v="-1466.8993300000002"/>
    <n v="0"/>
    <n v="0"/>
    <n v="0"/>
    <n v="-1309.7888508000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25"/>
    <s v="Regular"/>
    <s v="Branca"/>
    <s v="B3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085.6400000000003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126"/>
    <s v="Sistema de Compensação"/>
    <s v="Branca"/>
    <s v="B3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31.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127"/>
    <s v="Regular"/>
    <s v="Branca"/>
    <s v="B3"/>
    <s v="Industrial"/>
    <s v="Não se aplica"/>
    <s v="Não se aplica"/>
    <s v="Não se aplica"/>
    <s v="Intermediário"/>
    <s v="CATIVO"/>
    <x v="4"/>
    <n v="0"/>
    <n v="0"/>
    <n v="0.10299999999999999"/>
    <n v="0.10299999999999999"/>
    <n v="0.10299999999999999"/>
    <n v="0.10299999999999999"/>
    <m/>
    <n v="1348.63"/>
    <n v="119.97"/>
    <m/>
    <n v="151.26580000000001"/>
    <n v="151.26580000000001"/>
    <n v="131.4074"/>
    <n v="0"/>
    <n v="6.272172596546576"/>
    <n v="0"/>
    <n v="0"/>
    <n v="0"/>
    <n v="22.587574964271443"/>
    <n v="107.02732130965248"/>
    <n v="12.357305785073486"/>
    <n v="0"/>
    <n v="0"/>
    <n v="0"/>
    <n v="0"/>
    <n v="0"/>
    <n v="0.9692532686122205"/>
    <m/>
    <n v="0.221583771374305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305585911624134"/>
    <n v="0"/>
    <n v="0"/>
    <n v="0"/>
    <n v="0"/>
    <n v="0"/>
    <m/>
    <m/>
    <m/>
    <m/>
    <m/>
    <m/>
    <m/>
    <m/>
    <m/>
    <n v="14.187864376235899"/>
    <m/>
    <m/>
    <m/>
    <m/>
    <m/>
    <m/>
    <m/>
    <m/>
    <m/>
    <m/>
    <m/>
    <m/>
    <n v="127.58"/>
    <n v="-23.715799999999987"/>
    <m/>
    <m/>
    <m/>
    <m/>
    <n v="-19.858400000000017"/>
    <n v="0"/>
    <n v="31"/>
    <n v="-0.84009346416375053"/>
    <n v="0"/>
    <n v="0"/>
    <n v="0"/>
    <n v="0"/>
    <n v="0"/>
    <n v="0"/>
    <n v="0"/>
    <n v="-0.12084758916955707"/>
    <n v="0"/>
    <n v="0"/>
    <n v="0"/>
    <n v="0"/>
    <n v="0"/>
    <n v="0"/>
    <n v="0"/>
    <n v="0"/>
    <n v="-0.61832498211247167"/>
    <m/>
    <n v="0"/>
    <n v="0"/>
    <n v="0"/>
    <n v="0"/>
    <n v="-8.2598120179744217E-2"/>
    <n v="-1.8322772701980877E-2"/>
    <n v="0"/>
    <n v="0"/>
    <m/>
    <m/>
    <m/>
    <n v="107.02732130965248"/>
    <n v="0"/>
    <n v="0"/>
    <n v="-19.858400000000032"/>
    <n v="0"/>
    <n v="0"/>
    <n v="0"/>
    <n v="-19.01810939179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28"/>
    <s v="Regular"/>
    <s v="Convencional"/>
    <s v="B3"/>
    <s v="Comercial"/>
    <s v="Não se aplica"/>
    <s v="Não se aplica"/>
    <s v="Não se aplica"/>
    <s v="Não se aplica"/>
    <s v="CATIVO"/>
    <x v="4"/>
    <n v="0"/>
    <n v="0"/>
    <n v="90.893000000000001"/>
    <n v="90.893000000000001"/>
    <n v="90.893000000000001"/>
    <n v="90.893000000000001"/>
    <m/>
    <n v="707.13"/>
    <n v="119.97"/>
    <m/>
    <n v="75177.600300000006"/>
    <n v="75177.600300000006"/>
    <n v="66263.723789999989"/>
    <n v="0"/>
    <n v="5534.9182894942523"/>
    <n v="0"/>
    <n v="0"/>
    <n v="0"/>
    <n v="9774.5614874350031"/>
    <n v="46297.526492901408"/>
    <n v="10904.782473035772"/>
    <n v="0"/>
    <n v="0"/>
    <n v="0"/>
    <n v="0"/>
    <n v="0"/>
    <n v="855.3236635336948"/>
    <m/>
    <n v="195.537997393444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5.3879808400511"/>
    <n v="0"/>
    <n v="0"/>
    <n v="0"/>
    <n v="25065.31"/>
    <n v="267"/>
    <m/>
    <m/>
    <m/>
    <m/>
    <m/>
    <m/>
    <m/>
    <m/>
    <m/>
    <n v="12520.170453875822"/>
    <m/>
    <m/>
    <m/>
    <m/>
    <m/>
    <m/>
    <m/>
    <m/>
    <m/>
    <m/>
    <m/>
    <m/>
    <n v="66261.536699999997"/>
    <n v="-8916.0936000000074"/>
    <m/>
    <m/>
    <m/>
    <m/>
    <n v="-8913.8765100000055"/>
    <n v="0"/>
    <n v="31"/>
    <n v="-686.99872354976105"/>
    <n v="0"/>
    <n v="0"/>
    <n v="0"/>
    <n v="0"/>
    <n v="0"/>
    <n v="0"/>
    <n v="0"/>
    <n v="-52.295662230852031"/>
    <n v="0"/>
    <n v="0"/>
    <n v="0"/>
    <n v="0"/>
    <n v="0"/>
    <n v="0"/>
    <n v="0"/>
    <n v="0"/>
    <n v="-545.64478251600849"/>
    <m/>
    <n v="0"/>
    <n v="0"/>
    <n v="0"/>
    <n v="0"/>
    <n v="-72.889232402888297"/>
    <n v="-16.169046400011126"/>
    <n v="0"/>
    <n v="0"/>
    <m/>
    <m/>
    <m/>
    <n v="46297.526492901408"/>
    <n v="0"/>
    <n v="0"/>
    <n v="-8913.8765100000091"/>
    <n v="0"/>
    <n v="0"/>
    <n v="0"/>
    <n v="-8226.7911841329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29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15.837"/>
    <n v="15.837"/>
    <n v="15.837"/>
    <n v="15.837"/>
    <m/>
    <n v="707.13"/>
    <n v="119.97"/>
    <m/>
    <n v="13098.7827"/>
    <n v="13098.7827"/>
    <n v="11545.648109999998"/>
    <n v="0"/>
    <n v="964.39220787871966"/>
    <n v="0"/>
    <n v="0"/>
    <n v="0"/>
    <n v="1703.0984814728101"/>
    <n v="8066.7810179890594"/>
    <n v="1900.0257448369787"/>
    <n v="0"/>
    <n v="0"/>
    <n v="0"/>
    <n v="0"/>
    <n v="0"/>
    <n v="149.02974771856054"/>
    <m/>
    <n v="34.0701183228628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1.4617127013509"/>
    <n v="0"/>
    <n v="0"/>
    <n v="0"/>
    <n v="6707.41"/>
    <n v="8"/>
    <m/>
    <m/>
    <m/>
    <m/>
    <m/>
    <m/>
    <m/>
    <m/>
    <m/>
    <n v="2181.4874575383296"/>
    <m/>
    <m/>
    <m/>
    <m/>
    <m/>
    <m/>
    <m/>
    <m/>
    <m/>
    <m/>
    <m/>
    <m/>
    <n v="11547.8352"/>
    <n v="-1550.9775000000009"/>
    <m/>
    <m/>
    <m/>
    <m/>
    <n v="-1553.1345900000008"/>
    <n v="0"/>
    <n v="31"/>
    <n v="-119.7011737411849"/>
    <n v="0"/>
    <n v="0"/>
    <n v="0"/>
    <n v="0"/>
    <n v="0"/>
    <n v="0"/>
    <n v="0"/>
    <n v="-9.111883233582148"/>
    <n v="0"/>
    <n v="0"/>
    <n v="0"/>
    <n v="0"/>
    <n v="0"/>
    <n v="0"/>
    <n v="0"/>
    <n v="0"/>
    <n v="-95.071968366167084"/>
    <m/>
    <n v="0"/>
    <n v="0"/>
    <n v="0"/>
    <n v="0"/>
    <n v="-12.700062420258348"/>
    <n v="-2.8172597211773898"/>
    <n v="0"/>
    <n v="0"/>
    <m/>
    <m/>
    <m/>
    <n v="8066.7810179890594"/>
    <n v="0"/>
    <n v="0"/>
    <n v="-1553.1345900000015"/>
    <n v="0"/>
    <n v="0"/>
    <n v="0"/>
    <n v="-1433.418326858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30"/>
    <s v="Regular"/>
    <s v="Convencional"/>
    <s v="B2"/>
    <s v="Rural"/>
    <s v="Não se aplica"/>
    <s v="Não se aplica"/>
    <s v="Não se aplica"/>
    <s v="Não se aplica"/>
    <s v="CATIVO"/>
    <x v="4"/>
    <n v="0"/>
    <n v="0"/>
    <n v="293.61200000000002"/>
    <n v="293.61200000000002"/>
    <n v="293.61200000000002"/>
    <n v="293.61200000000002"/>
    <m/>
    <n v="707.13"/>
    <n v="119.97"/>
    <m/>
    <n v="242846.48520000002"/>
    <n v="242846.48520000002"/>
    <n v="214051.95636000001"/>
    <n v="0"/>
    <n v="17879.467382691586"/>
    <n v="0"/>
    <n v="0"/>
    <n v="0"/>
    <n v="31574.802762025309"/>
    <n v="149555.07408308418"/>
    <n v="35225.759865699001"/>
    <n v="0"/>
    <n v="0"/>
    <n v="0"/>
    <n v="0"/>
    <n v="0"/>
    <n v="2762.955249551178"/>
    <m/>
    <n v="631.64712893934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18.1938744502777"/>
    <n v="0"/>
    <n v="0"/>
    <n v="0"/>
    <n v="49250.15"/>
    <n v="708"/>
    <m/>
    <m/>
    <m/>
    <m/>
    <m/>
    <n v="25685.177759999977"/>
    <m/>
    <m/>
    <m/>
    <n v="40443.953740149278"/>
    <m/>
    <m/>
    <m/>
    <m/>
    <m/>
    <m/>
    <m/>
    <m/>
    <m/>
    <m/>
    <m/>
    <m/>
    <n v="188365.49550000002"/>
    <n v="-25342.964820000023"/>
    <m/>
    <m/>
    <m/>
    <m/>
    <n v="-28794.528840000017"/>
    <n v="0"/>
    <n v="31"/>
    <n v="-2219.2145623853576"/>
    <n v="0"/>
    <n v="0"/>
    <n v="0"/>
    <n v="0"/>
    <n v="0"/>
    <n v="0"/>
    <n v="0"/>
    <n v="-168.93087453296539"/>
    <n v="0"/>
    <n v="0"/>
    <n v="0"/>
    <n v="0"/>
    <n v="0"/>
    <n v="0"/>
    <n v="0"/>
    <n v="0"/>
    <n v="-1762.5983946408433"/>
    <m/>
    <n v="0"/>
    <n v="0"/>
    <n v="0"/>
    <n v="0"/>
    <n v="-235.45436176907833"/>
    <n v="-52.230931442466044"/>
    <n v="0"/>
    <n v="0"/>
    <m/>
    <m/>
    <m/>
    <n v="149555.07408308418"/>
    <n v="0"/>
    <n v="0"/>
    <n v="-28794.528840000014"/>
    <n v="0"/>
    <n v="0"/>
    <n v="0"/>
    <n v="-26575.034525823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31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22.734999999999999"/>
    <n v="22.734999999999999"/>
    <n v="22.734999999999999"/>
    <n v="22.734999999999999"/>
    <m/>
    <n v="707.13"/>
    <n v="119.97"/>
    <m/>
    <n v="18804.1185"/>
    <n v="18804.1185"/>
    <n v="16574.497049999998"/>
    <n v="0"/>
    <n v="1384.4450872086059"/>
    <n v="0"/>
    <n v="0"/>
    <n v="0"/>
    <n v="2444.9039575856755"/>
    <n v="11580.366637872152"/>
    <n v="2727.6053109091818"/>
    <n v="0"/>
    <n v="0"/>
    <n v="0"/>
    <n v="0"/>
    <n v="0"/>
    <n v="213.94148603785277"/>
    <m/>
    <n v="48.909777108687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4.05582106871333"/>
    <n v="0"/>
    <n v="0"/>
    <n v="0"/>
    <n v="8246.26"/>
    <n v="13"/>
    <m/>
    <m/>
    <m/>
    <m/>
    <m/>
    <n v="1988.857799999998"/>
    <m/>
    <m/>
    <m/>
    <n v="3131.6611319778949"/>
    <m/>
    <m/>
    <m/>
    <m/>
    <m/>
    <m/>
    <m/>
    <m/>
    <m/>
    <m/>
    <m/>
    <m/>
    <n v="14588.847"/>
    <n v="-1959.0800999999974"/>
    <m/>
    <m/>
    <m/>
    <m/>
    <n v="-2229.621450000001"/>
    <n v="0"/>
    <n v="31"/>
    <n v="-171.8384911918838"/>
    <n v="0"/>
    <n v="0"/>
    <n v="0"/>
    <n v="0"/>
    <n v="0"/>
    <n v="0"/>
    <n v="0"/>
    <n v="-13.080675968648848"/>
    <n v="0"/>
    <n v="0"/>
    <n v="0"/>
    <n v="0"/>
    <n v="0"/>
    <n v="0"/>
    <n v="0"/>
    <n v="0"/>
    <n v="-136.48173270220423"/>
    <m/>
    <n v="0"/>
    <n v="0"/>
    <n v="0"/>
    <n v="0"/>
    <n v="-18.231730701810534"/>
    <n v="-4.0443518192187895"/>
    <n v="0"/>
    <n v="0"/>
    <m/>
    <m/>
    <m/>
    <n v="11580.366637872152"/>
    <n v="0"/>
    <n v="0"/>
    <n v="-2229.6214500000006"/>
    <n v="0"/>
    <n v="0"/>
    <n v="0"/>
    <n v="-2057.761297033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32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11.35599999999999"/>
    <n v="111.35599999999999"/>
    <n v="111.35599999999999"/>
    <n v="111.35599999999999"/>
    <m/>
    <n v="707.13"/>
    <n v="119.97"/>
    <m/>
    <n v="92102.547599999991"/>
    <n v="92102.547599999991"/>
    <n v="81181.864679999999"/>
    <n v="0"/>
    <n v="6781.0102103013642"/>
    <n v="0"/>
    <n v="0"/>
    <n v="0"/>
    <n v="11975.136358078313"/>
    <n v="56720.620511409339"/>
    <n v="13359.807213617894"/>
    <n v="0"/>
    <n v="0"/>
    <n v="0"/>
    <n v="0"/>
    <n v="0"/>
    <n v="1047.8851163066256"/>
    <m/>
    <n v="239.56002373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9.0648784221526"/>
    <n v="0"/>
    <n v="0"/>
    <n v="0"/>
    <n v="32093.56"/>
    <n v="81"/>
    <m/>
    <m/>
    <m/>
    <m/>
    <m/>
    <m/>
    <m/>
    <m/>
    <m/>
    <n v="15338.872092040046"/>
    <m/>
    <m/>
    <m/>
    <m/>
    <m/>
    <m/>
    <m/>
    <m/>
    <m/>
    <m/>
    <m/>
    <m/>
    <n v="81184.780799999979"/>
    <n v="-10917.796799999996"/>
    <m/>
    <m/>
    <m/>
    <m/>
    <n v="-10920.682920000005"/>
    <n v="0"/>
    <n v="31"/>
    <n v="-841.66470310812292"/>
    <n v="0"/>
    <n v="0"/>
    <n v="0"/>
    <n v="0"/>
    <n v="0"/>
    <n v="0"/>
    <n v="0"/>
    <n v="-64.069133633818637"/>
    <n v="0"/>
    <n v="0"/>
    <n v="0"/>
    <n v="0"/>
    <n v="0"/>
    <n v="0"/>
    <n v="0"/>
    <n v="0"/>
    <n v="-668.48734668074121"/>
    <m/>
    <n v="0"/>
    <n v="0"/>
    <n v="0"/>
    <n v="0"/>
    <n v="-89.298992919763236"/>
    <n v="-19.809229873803702"/>
    <n v="0"/>
    <n v="0"/>
    <m/>
    <m/>
    <m/>
    <n v="56720.620511409339"/>
    <n v="0"/>
    <n v="0"/>
    <n v="-10920.682920000007"/>
    <n v="0"/>
    <n v="0"/>
    <n v="0"/>
    <n v="-10078.912117548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33"/>
    <s v="Refaturamento - Regular"/>
    <s v="Convencional"/>
    <s v="B3"/>
    <s v="Poder público"/>
    <s v="Não se aplica"/>
    <s v="Não se aplica"/>
    <s v="Não se aplica"/>
    <s v="Não se aplica"/>
    <s v="CATIVO"/>
    <x v="4"/>
    <n v="0"/>
    <n v="0"/>
    <n v="-87.14"/>
    <n v="-87.14"/>
    <n v="-87.14"/>
    <n v="-87.14"/>
    <m/>
    <n v="707.13"/>
    <n v="119.97"/>
    <m/>
    <n v="-72073.494000000006"/>
    <n v="-72073.494000000006"/>
    <n v="-63527.674199999994"/>
    <n v="0"/>
    <n v="-5306.3798064375596"/>
    <n v="0"/>
    <n v="0"/>
    <n v="0"/>
    <n v="-9370.9668292947335"/>
    <n v="-44385.887346566058"/>
    <n v="-10454.520641857316"/>
    <n v="0"/>
    <n v="0"/>
    <n v="0"/>
    <n v="0"/>
    <n v="0"/>
    <n v="-820.00708569775634"/>
    <m/>
    <n v="-187.46417318016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48.6881129504147"/>
    <n v="0"/>
    <n v="0"/>
    <n v="0"/>
    <n v="-25300.51"/>
    <n v="0"/>
    <m/>
    <m/>
    <m/>
    <m/>
    <m/>
    <m/>
    <m/>
    <m/>
    <m/>
    <n v="-12003.208754807731"/>
    <m/>
    <m/>
    <m/>
    <m/>
    <m/>
    <m/>
    <m/>
    <m/>
    <m/>
    <m/>
    <m/>
    <m/>
    <n v="-63527.674199999994"/>
    <n v="8545.7897999999986"/>
    <m/>
    <m/>
    <m/>
    <m/>
    <n v="8545.8198000000048"/>
    <n v="0"/>
    <n v="31"/>
    <n v="658.63233439456963"/>
    <n v="0"/>
    <n v="0"/>
    <n v="0"/>
    <n v="0"/>
    <n v="0"/>
    <n v="0"/>
    <n v="0"/>
    <n v="50.136358210163962"/>
    <n v="0"/>
    <n v="0"/>
    <n v="0"/>
    <n v="0"/>
    <n v="0"/>
    <n v="0"/>
    <n v="0"/>
    <n v="0"/>
    <n v="523.11494117748316"/>
    <m/>
    <n v="0"/>
    <n v="0"/>
    <n v="0"/>
    <n v="0"/>
    <n v="69.879613519057443"/>
    <n v="15.501421487870005"/>
    <n v="0"/>
    <n v="0"/>
    <m/>
    <m/>
    <m/>
    <n v="-44385.887346566058"/>
    <n v="0"/>
    <n v="0"/>
    <n v="8545.8198000000048"/>
    <n v="0"/>
    <n v="0"/>
    <n v="0"/>
    <n v="7887.1044391244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34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84.697999999999993"/>
    <n v="84.697999999999993"/>
    <n v="84.697999999999993"/>
    <n v="84.697999999999993"/>
    <m/>
    <n v="388.92"/>
    <n v="65.989999999999995"/>
    <m/>
    <n v="38529.967179999992"/>
    <n v="38529.967179999992"/>
    <n v="33961.357059999995"/>
    <n v="0"/>
    <n v="2836.7209807792856"/>
    <n v="0"/>
    <n v="0"/>
    <n v="0"/>
    <n v="5009.5958420838015"/>
    <n v="23728.112664260949"/>
    <n v="5588.8494850610123"/>
    <n v="0"/>
    <n v="0"/>
    <n v="0"/>
    <n v="0"/>
    <n v="0"/>
    <n v="438.36502271558072"/>
    <m/>
    <n v="100.21588589634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7.90833354223957"/>
    <n v="0"/>
    <n v="0"/>
    <n v="0"/>
    <n v="15329.48"/>
    <n v="2"/>
    <m/>
    <m/>
    <m/>
    <m/>
    <m/>
    <m/>
    <m/>
    <m/>
    <m/>
    <n v="6416.7578186032515"/>
    <m/>
    <m/>
    <m/>
    <m/>
    <m/>
    <m/>
    <m/>
    <m/>
    <m/>
    <m/>
    <m/>
    <m/>
    <n v="33962.159000000007"/>
    <n v="-4567.8381799999916"/>
    <m/>
    <m/>
    <m/>
    <m/>
    <n v="-4568.6101199999994"/>
    <n v="0"/>
    <n v="31"/>
    <n v="-352.09619924494655"/>
    <n v="0"/>
    <n v="0"/>
    <n v="0"/>
    <n v="0"/>
    <n v="0"/>
    <n v="0"/>
    <n v="0"/>
    <n v="-26.802238894049879"/>
    <n v="0"/>
    <n v="0"/>
    <n v="0"/>
    <n v="0"/>
    <n v="0"/>
    <n v="0"/>
    <n v="0"/>
    <n v="0"/>
    <n v="-279.65037994397471"/>
    <m/>
    <n v="0"/>
    <n v="0"/>
    <n v="0"/>
    <n v="0"/>
    <n v="-37.35672398680714"/>
    <n v="-8.2868564201149866"/>
    <n v="0"/>
    <n v="0"/>
    <m/>
    <m/>
    <m/>
    <n v="23728.112664260949"/>
    <n v="0"/>
    <n v="0"/>
    <n v="-4568.6101199999976"/>
    <n v="0"/>
    <n v="0"/>
    <n v="0"/>
    <n v="-4216.342488888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35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4.9820000000000002"/>
    <n v="4.6830800000000004"/>
    <n v="4.9820000000000002"/>
    <n v="4.6830800000000004"/>
    <m/>
    <n v="707.13"/>
    <n v="119.97"/>
    <m/>
    <n v="4120.6121999999996"/>
    <n v="4120.6121999999996"/>
    <n v="3632.0274599999998"/>
    <n v="0"/>
    <n v="303.3782900582043"/>
    <n v="0"/>
    <n v="0"/>
    <n v="0"/>
    <n v="535.7603482160473"/>
    <n v="2537.646210243196"/>
    <n v="597.70968370132152"/>
    <n v="0"/>
    <n v="0"/>
    <n v="0"/>
    <n v="0"/>
    <n v="0"/>
    <n v="46.88174547792314"/>
    <m/>
    <n v="10.717770378512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42164089040241"/>
    <n v="0"/>
    <n v="0"/>
    <n v="0"/>
    <n v="1373.79"/>
    <n v="7"/>
    <m/>
    <m/>
    <m/>
    <m/>
    <n v="217.92164759999989"/>
    <m/>
    <m/>
    <m/>
    <m/>
    <n v="686.25184779036181"/>
    <m/>
    <m/>
    <m/>
    <m/>
    <m/>
    <m/>
    <m/>
    <m/>
    <m/>
    <m/>
    <m/>
    <m/>
    <n v="3411.8603999999996"/>
    <n v="-461.54506800000127"/>
    <m/>
    <m/>
    <m/>
    <m/>
    <n v="-488.58474000000029"/>
    <n v="0"/>
    <n v="31"/>
    <n v="-37.655569083701948"/>
    <n v="0"/>
    <n v="0"/>
    <n v="0"/>
    <n v="0"/>
    <n v="0"/>
    <n v="0"/>
    <n v="0"/>
    <n v="-2.8664142368950252"/>
    <n v="0"/>
    <n v="0"/>
    <n v="0"/>
    <n v="0"/>
    <n v="0"/>
    <n v="0"/>
    <n v="0"/>
    <n v="0"/>
    <n v="-29.907719037711956"/>
    <m/>
    <n v="0"/>
    <n v="0"/>
    <n v="0"/>
    <n v="0"/>
    <n v="-3.9951828615095764"/>
    <n v="-0.88625294758513284"/>
    <n v="0"/>
    <n v="0"/>
    <m/>
    <m/>
    <m/>
    <n v="2537.646210243196"/>
    <n v="0"/>
    <n v="0"/>
    <n v="-488.58474000000024"/>
    <n v="0"/>
    <n v="0"/>
    <n v="0"/>
    <n v="-450.92442409591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36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5.6879999999999997"/>
    <n v="5.3467200000000004"/>
    <n v="5.6879999999999997"/>
    <n v="5.3467200000000004"/>
    <m/>
    <n v="3312.96"/>
    <n v="119.97"/>
    <m/>
    <n v="19526.505840000002"/>
    <n v="19526.505840000002"/>
    <n v="16949.15928"/>
    <n v="0"/>
    <n v="301.34196528511171"/>
    <n v="0"/>
    <n v="0"/>
    <n v="0"/>
    <n v="4252.57065754214"/>
    <n v="14181.26933215928"/>
    <n v="682.41121655823292"/>
    <n v="0"/>
    <n v="0"/>
    <n v="0"/>
    <n v="0"/>
    <n v="0"/>
    <n v="53.525364969575833"/>
    <m/>
    <n v="4.7820835736410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645084039137693"/>
    <n v="0"/>
    <n v="0"/>
    <n v="0"/>
    <n v="0"/>
    <n v="0"/>
    <m/>
    <m/>
    <m/>
    <m/>
    <n v="1016.9495567999982"/>
    <m/>
    <m/>
    <m/>
    <m/>
    <n v="733.05630059737064"/>
    <m/>
    <m/>
    <m/>
    <m/>
    <m/>
    <m/>
    <m/>
    <m/>
    <m/>
    <m/>
    <m/>
    <m/>
    <n v="15941.9835"/>
    <n v="-2412.9619895999949"/>
    <m/>
    <m/>
    <m/>
    <m/>
    <n v="-2577.346559999999"/>
    <n v="0"/>
    <n v="31"/>
    <n v="-57.415763080886791"/>
    <n v="0"/>
    <n v="0"/>
    <n v="0"/>
    <n v="0"/>
    <n v="0"/>
    <n v="0"/>
    <n v="0"/>
    <n v="-22.752017981133577"/>
    <n v="0"/>
    <n v="0"/>
    <n v="0"/>
    <n v="0"/>
    <n v="0"/>
    <n v="0"/>
    <n v="0"/>
    <n v="0"/>
    <n v="-29.706973528955984"/>
    <m/>
    <n v="0"/>
    <n v="0"/>
    <n v="0"/>
    <n v="0"/>
    <n v="-4.5613408503144228"/>
    <n v="-0.39543072048217542"/>
    <n v="0"/>
    <n v="0"/>
    <m/>
    <m/>
    <m/>
    <n v="14181.26933215928"/>
    <n v="0"/>
    <n v="0"/>
    <n v="-2577.34656"/>
    <n v="0"/>
    <n v="0"/>
    <n v="0"/>
    <n v="-2519.9260167713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37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47.715000000000003"/>
    <n v="44.8521"/>
    <n v="47.715000000000003"/>
    <n v="44.8521"/>
    <m/>
    <n v="72.13"/>
    <n v="119.97"/>
    <m/>
    <n v="9166.0514999999996"/>
    <n v="9166.0514999999996"/>
    <n v="8875.4671500000004"/>
    <n v="0"/>
    <n v="2527.8712857909823"/>
    <n v="0"/>
    <n v="0"/>
    <n v="0"/>
    <n v="0"/>
    <n v="0"/>
    <n v="5724.5518983959364"/>
    <n v="0"/>
    <n v="0"/>
    <n v="0"/>
    <n v="0"/>
    <n v="0"/>
    <n v="449.00892924108842"/>
    <m/>
    <n v="40.115527024662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.84707892536136"/>
    <n v="0"/>
    <n v="0"/>
    <n v="0"/>
    <n v="0"/>
    <n v="0"/>
    <m/>
    <m/>
    <m/>
    <m/>
    <n v="532.52802900000063"/>
    <m/>
    <m/>
    <m/>
    <m/>
    <n v="6149.3989773212979"/>
    <m/>
    <m/>
    <m/>
    <m/>
    <m/>
    <m/>
    <m/>
    <m/>
    <m/>
    <m/>
    <m/>
    <m/>
    <n v="8342.5485000000008"/>
    <n v="-273.56991000000016"/>
    <m/>
    <m/>
    <m/>
    <m/>
    <n v="-290.58434999999952"/>
    <n v="0"/>
    <n v="31"/>
    <n v="-290.78421192592941"/>
    <n v="0"/>
    <n v="0"/>
    <n v="0"/>
    <n v="0"/>
    <n v="0"/>
    <n v="0"/>
    <n v="0"/>
    <n v="0"/>
    <n v="0"/>
    <n v="0"/>
    <n v="0"/>
    <n v="0"/>
    <n v="0"/>
    <n v="0"/>
    <n v="0"/>
    <n v="0"/>
    <n v="-249.20327741458095"/>
    <m/>
    <n v="0"/>
    <n v="0"/>
    <n v="0"/>
    <n v="0"/>
    <n v="-38.263779654140762"/>
    <n v="-3.3171548572093883"/>
    <n v="0"/>
    <n v="0"/>
    <m/>
    <m/>
    <m/>
    <n v="0"/>
    <n v="0"/>
    <n v="0"/>
    <n v="-290.58434999999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38"/>
    <s v="Regular"/>
    <s v="Verde"/>
    <s v="A4"/>
    <s v="Serviço público"/>
    <s v="Água, esgoto e saneamento"/>
    <s v="Não se aplica"/>
    <s v="Não se aplica"/>
    <s v="Não se aplica"/>
    <s v="CATIVO"/>
    <x v="4"/>
    <n v="101"/>
    <n v="94.94"/>
    <n v="0"/>
    <n v="0"/>
    <n v="0"/>
    <n v="0"/>
    <n v="46.29"/>
    <m/>
    <m/>
    <n v="4675.29"/>
    <m/>
    <n v="4675.29"/>
    <n v="4156.1499999999996"/>
    <n v="0"/>
    <n v="0"/>
    <n v="0"/>
    <n v="0"/>
    <n v="0"/>
    <n v="1809.2142497251059"/>
    <n v="2865.716259247420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921.71"/>
    <n v="1"/>
    <m/>
    <m/>
    <m/>
    <m/>
    <n v="249.36900000000009"/>
    <m/>
    <m/>
    <m/>
    <m/>
    <n v="0"/>
    <m/>
    <m/>
    <m/>
    <m/>
    <m/>
    <m/>
    <m/>
    <m/>
    <m/>
    <m/>
    <m/>
    <m/>
    <n v="3906.7809999999999"/>
    <n v="-488.02160000000094"/>
    <m/>
    <m/>
    <m/>
    <m/>
    <n v="-519.1400000000001"/>
    <n v="0"/>
    <n v="31"/>
    <n v="-9.6796216821167036"/>
    <n v="0"/>
    <n v="0"/>
    <n v="0"/>
    <n v="0"/>
    <m/>
    <m/>
    <m/>
    <n v="-9.679621682116703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65.7162592474206"/>
    <m/>
    <n v="0"/>
    <n v="0"/>
    <n v="-519.14000000000033"/>
    <m/>
    <n v="0"/>
    <m/>
    <n v="-509.22049283600245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139"/>
    <s v="Regular"/>
    <s v="Convencional"/>
    <s v="B1"/>
    <s v="Residencial"/>
    <s v="Residencial"/>
    <s v="Não se aplica"/>
    <s v="Não se aplica"/>
    <s v="Não se aplica"/>
    <s v="CATIVO"/>
    <x v="5"/>
    <n v="0"/>
    <n v="0"/>
    <n v="659.79499999999996"/>
    <n v="659.79499999999996"/>
    <n v="659.79499999999996"/>
    <n v="659.79499999999996"/>
    <m/>
    <n v="707.13"/>
    <n v="119.97"/>
    <m/>
    <n v="545716.44449999998"/>
    <n v="545716.44449999998"/>
    <n v="481010.34884999995"/>
    <n v="0"/>
    <n v="40178.137071247067"/>
    <n v="0"/>
    <n v="0"/>
    <n v="0"/>
    <n v="70953.83359116959"/>
    <n v="336075.12671365106"/>
    <n v="79158.141460801562"/>
    <n v="0"/>
    <n v="0"/>
    <n v="0"/>
    <n v="0"/>
    <n v="0"/>
    <n v="6208.8200035339814"/>
    <m/>
    <n v="1419.41615955252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26.149569475772"/>
    <n v="0"/>
    <n v="0"/>
    <n v="0"/>
    <n v="127158.62"/>
    <n v="3107"/>
    <m/>
    <m/>
    <m/>
    <m/>
    <m/>
    <m/>
    <m/>
    <m/>
    <m/>
    <n v="90884.291030277338"/>
    <m/>
    <m/>
    <m/>
    <m/>
    <m/>
    <m/>
    <m/>
    <m/>
    <m/>
    <m/>
    <m/>
    <m/>
    <n v="481013.99399999995"/>
    <n v="-64702.480500000063"/>
    <m/>
    <m/>
    <m/>
    <m/>
    <n v="-64706.095650000032"/>
    <n v="0"/>
    <n v="29"/>
    <n v="-4986.9442399800755"/>
    <n v="0"/>
    <n v="0"/>
    <n v="0"/>
    <n v="0"/>
    <n v="0"/>
    <n v="0"/>
    <n v="0"/>
    <n v="-379.61577306948311"/>
    <n v="0"/>
    <n v="0"/>
    <n v="0"/>
    <n v="0"/>
    <n v="0"/>
    <n v="0"/>
    <n v="0"/>
    <n v="0"/>
    <n v="-3960.8517628436675"/>
    <m/>
    <n v="0"/>
    <n v="0"/>
    <n v="0"/>
    <n v="0"/>
    <n v="-529.10511363101341"/>
    <n v="-117.3715904359558"/>
    <n v="0"/>
    <n v="0"/>
    <m/>
    <m/>
    <m/>
    <n v="336075.12671365106"/>
    <n v="0"/>
    <n v="0"/>
    <n v="-64706.095650000032"/>
    <n v="0"/>
    <n v="0"/>
    <n v="0"/>
    <n v="-59718.522761213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40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6.9000000000000006E-2"/>
    <n v="-6.9000000000000006E-2"/>
    <n v="-6.9000000000000006E-2"/>
    <n v="-6.9000000000000006E-2"/>
    <m/>
    <n v="707.13"/>
    <n v="119.97"/>
    <m/>
    <n v="-57.069900000000004"/>
    <n v="-57.069900000000004"/>
    <n v="-50.303070000000005"/>
    <n v="0"/>
    <n v="-4.2017466908904257"/>
    <n v="0"/>
    <n v="0"/>
    <n v="0"/>
    <n v="-7.420205545344694"/>
    <n v="-35.146043457804204"/>
    <n v="-8.2781951375735012"/>
    <n v="0"/>
    <n v="0"/>
    <n v="0"/>
    <n v="0"/>
    <n v="0"/>
    <n v="-0.64930558771109925"/>
    <m/>
    <n v="-0.14843961383327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2262965319437529"/>
    <n v="0"/>
    <n v="0"/>
    <n v="0"/>
    <n v="0.56000000000000005"/>
    <n v="0"/>
    <m/>
    <m/>
    <m/>
    <m/>
    <m/>
    <m/>
    <m/>
    <m/>
    <m/>
    <n v="-9.5044916695172539"/>
    <m/>
    <m/>
    <m/>
    <m/>
    <m/>
    <m/>
    <m/>
    <m/>
    <m/>
    <m/>
    <m/>
    <m/>
    <n v="-51.0321"/>
    <n v="6.0078000000000102"/>
    <m/>
    <m/>
    <m/>
    <m/>
    <n v="6.7668300000000041"/>
    <n v="0"/>
    <n v="29"/>
    <n v="0.52152434098261935"/>
    <n v="0"/>
    <n v="0"/>
    <n v="0"/>
    <n v="0"/>
    <n v="0"/>
    <n v="0"/>
    <n v="0"/>
    <n v="3.9699434433110525E-2"/>
    <n v="0"/>
    <n v="0"/>
    <n v="0"/>
    <n v="0"/>
    <n v="0"/>
    <n v="0"/>
    <n v="0"/>
    <n v="0"/>
    <n v="0.41421770646369493"/>
    <m/>
    <n v="0"/>
    <n v="0"/>
    <n v="0"/>
    <n v="0"/>
    <n v="5.5332721285459741E-2"/>
    <n v="1.2274478800356092E-2"/>
    <n v="0"/>
    <n v="0"/>
    <m/>
    <m/>
    <m/>
    <n v="-35.146043457804204"/>
    <n v="0"/>
    <n v="0"/>
    <n v="6.7668300000000059"/>
    <n v="0"/>
    <n v="0"/>
    <n v="0"/>
    <n v="6.2452399162220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41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8.2349999999999994"/>
    <n v="8.2349999999999994"/>
    <n v="8.2349999999999994"/>
    <n v="8.2349999999999994"/>
    <m/>
    <n v="707.13"/>
    <n v="119.97"/>
    <m/>
    <n v="6811.1684999999998"/>
    <n v="6811.1684999999998"/>
    <n v="6003.5620499999986"/>
    <n v="0"/>
    <n v="501.46933332583546"/>
    <n v="0"/>
    <n v="0"/>
    <n v="0"/>
    <n v="885.58540095526871"/>
    <n v="4194.6038822466317"/>
    <n v="987.98459359301125"/>
    <n v="0"/>
    <n v="0"/>
    <n v="0"/>
    <n v="0"/>
    <n v="0"/>
    <n v="77.493210359433363"/>
    <m/>
    <n v="17.7159452161884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.3558252254609"/>
    <n v="0"/>
    <n v="0"/>
    <n v="0"/>
    <n v="4595.2700000000004"/>
    <n v="38"/>
    <m/>
    <m/>
    <m/>
    <m/>
    <m/>
    <m/>
    <m/>
    <m/>
    <m/>
    <n v="1134.3404188184722"/>
    <m/>
    <m/>
    <m/>
    <m/>
    <m/>
    <m/>
    <m/>
    <m/>
    <m/>
    <m/>
    <m/>
    <m/>
    <n v="6007.2071999999998"/>
    <n v="-803.99130000000059"/>
    <m/>
    <m/>
    <m/>
    <m/>
    <n v="-807.60645000000034"/>
    <n v="0"/>
    <n v="29"/>
    <n v="-62.242796347708918"/>
    <n v="0"/>
    <n v="0"/>
    <n v="0"/>
    <n v="0"/>
    <n v="0"/>
    <n v="0"/>
    <n v="0"/>
    <n v="-4.7380411964734321"/>
    <n v="0"/>
    <n v="0"/>
    <n v="0"/>
    <n v="0"/>
    <n v="0"/>
    <n v="0"/>
    <n v="0"/>
    <n v="0"/>
    <n v="-49.435982793167"/>
    <m/>
    <n v="0"/>
    <n v="0"/>
    <n v="0"/>
    <n v="0"/>
    <n v="-6.6038399968950898"/>
    <n v="-1.4649323611729343"/>
    <n v="0"/>
    <n v="0"/>
    <m/>
    <m/>
    <m/>
    <n v="4194.6038822466317"/>
    <n v="0"/>
    <n v="0"/>
    <n v="-807.60645000000113"/>
    <n v="0"/>
    <n v="0"/>
    <n v="0"/>
    <n v="-745.35580739258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42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4.41"/>
    <n v="4.41"/>
    <n v="4.41"/>
    <n v="4.41"/>
    <m/>
    <n v="636.83000000000004"/>
    <n v="119.97"/>
    <m/>
    <n v="3337.4880000000003"/>
    <n v="3337.4880000000003"/>
    <n v="2934.9872999999998"/>
    <n v="0"/>
    <n v="0"/>
    <n v="0"/>
    <n v="0"/>
    <n v="0"/>
    <n v="474.24791963724778"/>
    <n v="2246.290603607486"/>
    <n v="529.0846457492629"/>
    <n v="0"/>
    <n v="0"/>
    <n v="0"/>
    <n v="0"/>
    <n v="0"/>
    <n v="0"/>
    <m/>
    <n v="9.48722749282221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376343563361587"/>
    <n v="0"/>
    <n v="0"/>
    <n v="0"/>
    <n v="139.65"/>
    <n v="7"/>
    <m/>
    <m/>
    <m/>
    <m/>
    <m/>
    <m/>
    <m/>
    <n v="1907.7219"/>
    <m/>
    <n v="607.46098931262452"/>
    <m/>
    <m/>
    <m/>
    <m/>
    <m/>
    <m/>
    <m/>
    <m/>
    <m/>
    <m/>
    <m/>
    <m/>
    <n v="1027.2654"/>
    <n v="-140.88539999999989"/>
    <m/>
    <m/>
    <m/>
    <m/>
    <n v="-402.50070000000045"/>
    <n v="0"/>
    <n v="29"/>
    <n v="-3.3218109762258337"/>
    <n v="0"/>
    <n v="0"/>
    <n v="0"/>
    <n v="0"/>
    <n v="0"/>
    <n v="0"/>
    <n v="0"/>
    <n v="-2.537311678985759"/>
    <n v="0"/>
    <n v="0"/>
    <n v="0"/>
    <n v="0"/>
    <n v="0"/>
    <n v="0"/>
    <n v="0"/>
    <n v="0"/>
    <n v="0"/>
    <m/>
    <n v="0"/>
    <n v="0"/>
    <n v="0"/>
    <n v="0"/>
    <n v="0"/>
    <n v="-0.78449929724015277"/>
    <n v="0"/>
    <n v="0"/>
    <m/>
    <m/>
    <m/>
    <n v="2246.290603607486"/>
    <n v="0"/>
    <n v="0"/>
    <n v="-402.50070000000051"/>
    <n v="0"/>
    <n v="0"/>
    <n v="0"/>
    <n v="-399.15229029767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43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9.3819999999999997"/>
    <n v="9.3819999999999997"/>
    <n v="9.3819999999999997"/>
    <n v="9.3819999999999997"/>
    <m/>
    <n v="636.83000000000004"/>
    <n v="119.97"/>
    <m/>
    <n v="7100.2975999999999"/>
    <n v="7100.2975999999999"/>
    <n v="6244.0024599999997"/>
    <n v="0"/>
    <n v="0"/>
    <n v="0"/>
    <n v="0"/>
    <n v="0"/>
    <n v="1008.932875745274"/>
    <n v="4778.8431843640437"/>
    <n v="1125.594591024849"/>
    <n v="0"/>
    <n v="0"/>
    <n v="0"/>
    <n v="0"/>
    <n v="0"/>
    <n v="0"/>
    <m/>
    <n v="20.1834848838226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.74078351733752"/>
    <n v="0"/>
    <n v="0"/>
    <n v="0"/>
    <n v="510.58"/>
    <n v="17"/>
    <m/>
    <m/>
    <m/>
    <m/>
    <m/>
    <m/>
    <m/>
    <n v="2497.5822199999993"/>
    <m/>
    <n v="1292.3353745421866"/>
    <m/>
    <m/>
    <m/>
    <m/>
    <m/>
    <m/>
    <m/>
    <m/>
    <m/>
    <m/>
    <m/>
    <m/>
    <n v="3745.6215999999999"/>
    <n v="-514.586960000001"/>
    <m/>
    <m/>
    <m/>
    <m/>
    <n v="-856.29514000000086"/>
    <n v="0"/>
    <n v="29"/>
    <n v="-7.0669457095123107"/>
    <n v="0"/>
    <n v="0"/>
    <n v="0"/>
    <n v="0"/>
    <n v="0"/>
    <n v="0"/>
    <n v="0"/>
    <n v="-5.3979723746585933"/>
    <n v="0"/>
    <n v="0"/>
    <n v="0"/>
    <n v="0"/>
    <n v="0"/>
    <n v="0"/>
    <n v="0"/>
    <n v="0"/>
    <n v="0"/>
    <m/>
    <n v="0"/>
    <n v="0"/>
    <n v="0"/>
    <n v="0"/>
    <n v="0"/>
    <n v="-1.6689733348542184"/>
    <n v="0"/>
    <n v="0"/>
    <m/>
    <m/>
    <m/>
    <n v="4778.8431843640437"/>
    <n v="0"/>
    <n v="0"/>
    <n v="-856.29514000000017"/>
    <n v="0"/>
    <n v="0"/>
    <n v="0"/>
    <n v="-849.17160715935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44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11.077"/>
    <n v="11.077"/>
    <n v="11.077"/>
    <n v="11.077"/>
    <m/>
    <n v="636.83000000000004"/>
    <n v="119.97"/>
    <m/>
    <n v="8383.0735999999997"/>
    <n v="8383.0735999999997"/>
    <n v="7372.0758099999994"/>
    <n v="0"/>
    <n v="0"/>
    <n v="0"/>
    <n v="0"/>
    <n v="0"/>
    <n v="1191.2118380548286"/>
    <n v="5642.2133823492341"/>
    <n v="1328.9502541869806"/>
    <n v="0"/>
    <n v="0"/>
    <n v="0"/>
    <n v="0"/>
    <n v="0"/>
    <n v="0"/>
    <m/>
    <n v="23.829936267118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.86502441073839"/>
    <n v="0"/>
    <n v="0"/>
    <n v="0"/>
    <n v="1543.23"/>
    <n v="65"/>
    <m/>
    <m/>
    <m/>
    <m/>
    <m/>
    <m/>
    <m/>
    <n v="737.06357999999943"/>
    <m/>
    <n v="1525.815278597719"/>
    <m/>
    <m/>
    <m/>
    <m/>
    <m/>
    <m/>
    <m/>
    <m/>
    <m/>
    <m/>
    <m/>
    <m/>
    <n v="6636.8091999999997"/>
    <n v="-907.98704000000089"/>
    <m/>
    <m/>
    <m/>
    <m/>
    <n v="-1010.997790000001"/>
    <n v="0"/>
    <n v="29"/>
    <n v="-8.3436961867701029"/>
    <n v="0"/>
    <n v="0"/>
    <n v="0"/>
    <n v="0"/>
    <n v="0"/>
    <n v="0"/>
    <n v="0"/>
    <n v="-6.3731976118199327"/>
    <n v="0"/>
    <n v="0"/>
    <n v="0"/>
    <n v="0"/>
    <n v="0"/>
    <n v="0"/>
    <n v="0"/>
    <n v="0"/>
    <n v="0"/>
    <m/>
    <n v="0"/>
    <n v="0"/>
    <n v="0"/>
    <n v="0"/>
    <n v="0"/>
    <n v="-1.9704985749499251"/>
    <n v="0"/>
    <n v="0"/>
    <m/>
    <m/>
    <m/>
    <n v="5642.2133823492341"/>
    <n v="0"/>
    <n v="0"/>
    <n v="-1010.9977900000013"/>
    <n v="0"/>
    <n v="0"/>
    <n v="0"/>
    <n v="-1002.5872833621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45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7.4379999999999997"/>
    <n v="7.4379999999999997"/>
    <n v="7.4379999999999997"/>
    <n v="7.4379999999999997"/>
    <m/>
    <n v="636.83000000000004"/>
    <n v="119.97"/>
    <m/>
    <n v="5629.0784000000003"/>
    <n v="5629.0784000000003"/>
    <n v="4950.2121399999996"/>
    <n v="0"/>
    <n v="0"/>
    <n v="0"/>
    <n v="0"/>
    <n v="0"/>
    <n v="799.87664994599743"/>
    <n v="3788.6416121615598"/>
    <n v="892.36544106190865"/>
    <n v="0"/>
    <n v="0"/>
    <n v="0"/>
    <n v="0"/>
    <n v="0"/>
    <n v="0"/>
    <m/>
    <n v="16.0013601114765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.19121166083525"/>
    <n v="0"/>
    <n v="0"/>
    <n v="0"/>
    <n v="1649.81"/>
    <n v="58"/>
    <m/>
    <m/>
    <m/>
    <m/>
    <m/>
    <m/>
    <m/>
    <m/>
    <m/>
    <n v="1024.5566527227438"/>
    <m/>
    <m/>
    <m/>
    <m/>
    <m/>
    <m/>
    <m/>
    <m/>
    <m/>
    <m/>
    <m/>
    <m/>
    <n v="4951.5432000000001"/>
    <n v="-677.56520000000091"/>
    <m/>
    <m/>
    <m/>
    <m/>
    <n v="-678.86626000000069"/>
    <n v="0"/>
    <n v="29"/>
    <n v="-5.602637197544027"/>
    <n v="0"/>
    <n v="0"/>
    <n v="0"/>
    <n v="0"/>
    <n v="0"/>
    <n v="0"/>
    <n v="0"/>
    <n v="-4.2794839610648978"/>
    <n v="0"/>
    <n v="0"/>
    <n v="0"/>
    <n v="0"/>
    <n v="0"/>
    <n v="0"/>
    <n v="0"/>
    <n v="0"/>
    <n v="0"/>
    <m/>
    <n v="0"/>
    <n v="0"/>
    <n v="0"/>
    <n v="0"/>
    <n v="0"/>
    <n v="-1.3231532364789658"/>
    <n v="0"/>
    <n v="0"/>
    <m/>
    <m/>
    <m/>
    <n v="3788.6416121615598"/>
    <n v="0"/>
    <n v="0"/>
    <n v="-678.86626000000069"/>
    <n v="0"/>
    <n v="0"/>
    <n v="0"/>
    <n v="-673.21876082405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46"/>
    <s v="Regular"/>
    <s v="Convencional"/>
    <s v="B3"/>
    <s v="Industrial"/>
    <s v="Não se aplica"/>
    <s v="Não se aplica"/>
    <s v="Não se aplica"/>
    <s v="Não se aplica"/>
    <s v="CATIVO"/>
    <x v="5"/>
    <n v="0"/>
    <n v="0"/>
    <n v="141.63800000000001"/>
    <n v="141.63800000000001"/>
    <n v="141.63800000000001"/>
    <n v="141.63800000000001"/>
    <m/>
    <n v="707.13"/>
    <n v="119.97"/>
    <m/>
    <n v="117148.7898"/>
    <n v="117148.7898"/>
    <n v="103258.35114"/>
    <n v="0"/>
    <n v="8625.0289536860582"/>
    <n v="0"/>
    <n v="0"/>
    <n v="0"/>
    <n v="15231.638739587415"/>
    <n v="72145.149322847414"/>
    <n v="16992.855114429502"/>
    <n v="0"/>
    <n v="0"/>
    <n v="0"/>
    <n v="0"/>
    <n v="0"/>
    <n v="1332.8455772786185"/>
    <m/>
    <n v="304.70565252343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7.2491042239021"/>
    <n v="0"/>
    <n v="0"/>
    <n v="0"/>
    <n v="41123.15"/>
    <n v="66"/>
    <m/>
    <m/>
    <m/>
    <m/>
    <m/>
    <m/>
    <m/>
    <m/>
    <m/>
    <n v="19510.104218653403"/>
    <m/>
    <m/>
    <m/>
    <m/>
    <m/>
    <m/>
    <m/>
    <m/>
    <m/>
    <m/>
    <m/>
    <m/>
    <n v="103259.80919999997"/>
    <n v="-13889.010600000009"/>
    <m/>
    <m/>
    <m/>
    <m/>
    <n v="-13890.438660000007"/>
    <n v="0"/>
    <n v="29"/>
    <n v="-1070.545863885447"/>
    <n v="0"/>
    <n v="0"/>
    <n v="0"/>
    <n v="0"/>
    <n v="0"/>
    <n v="0"/>
    <n v="0"/>
    <n v="-81.492007162853042"/>
    <n v="0"/>
    <n v="0"/>
    <n v="0"/>
    <n v="0"/>
    <n v="0"/>
    <n v="0"/>
    <n v="0"/>
    <n v="0"/>
    <n v="-850.27489142180821"/>
    <m/>
    <n v="0"/>
    <n v="0"/>
    <n v="0"/>
    <n v="0"/>
    <n v="-113.58284025260787"/>
    <n v="-25.196125048186047"/>
    <n v="0"/>
    <n v="0"/>
    <m/>
    <m/>
    <m/>
    <n v="72145.149322847414"/>
    <n v="0"/>
    <n v="0"/>
    <n v="-13890.43866"/>
    <n v="0"/>
    <n v="0"/>
    <n v="0"/>
    <n v="-12819.757844258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47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2"/>
    <n v="0.2"/>
    <n v="0.2"/>
    <n v="0.2"/>
    <m/>
    <n v="707.13"/>
    <n v="119.97"/>
    <m/>
    <n v="165.42000000000002"/>
    <n v="165.42000000000002"/>
    <n v="145.80599999999998"/>
    <n v="0"/>
    <n v="12.17897591562442"/>
    <n v="0"/>
    <n v="0"/>
    <n v="0"/>
    <n v="21.507842160419401"/>
    <n v="101.8725897327658"/>
    <n v="23.9947685147058"/>
    <n v="0"/>
    <n v="0"/>
    <n v="0"/>
    <n v="0"/>
    <n v="0"/>
    <n v="1.8820451817713022"/>
    <m/>
    <n v="0.4302597502413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544827012862399"/>
    <n v="0"/>
    <n v="0"/>
    <n v="0"/>
    <n v="804.57"/>
    <n v="2"/>
    <m/>
    <m/>
    <m/>
    <m/>
    <m/>
    <m/>
    <m/>
    <m/>
    <m/>
    <n v="27.54925121599204"/>
    <m/>
    <m/>
    <m/>
    <m/>
    <m/>
    <m/>
    <m/>
    <m/>
    <m/>
    <m/>
    <m/>
    <m/>
    <n v="145.80599999999998"/>
    <n v="-19.644000000000005"/>
    <m/>
    <m/>
    <m/>
    <m/>
    <n v="-19.614000000000011"/>
    <n v="0"/>
    <n v="29"/>
    <n v="-1.5116647564713617"/>
    <n v="0"/>
    <n v="0"/>
    <n v="0"/>
    <n v="0"/>
    <n v="0"/>
    <n v="0"/>
    <n v="0"/>
    <n v="-0.1150708244437979"/>
    <n v="0"/>
    <n v="0"/>
    <n v="0"/>
    <n v="0"/>
    <n v="0"/>
    <n v="0"/>
    <n v="0"/>
    <n v="0"/>
    <n v="-1.2006310332280989"/>
    <m/>
    <n v="0"/>
    <n v="0"/>
    <n v="0"/>
    <n v="0"/>
    <n v="-0.16038469937814415"/>
    <n v="-3.5578199421322065E-2"/>
    <n v="0"/>
    <n v="0"/>
    <m/>
    <m/>
    <m/>
    <n v="101.8725897327658"/>
    <n v="0"/>
    <n v="0"/>
    <n v="-19.614000000000019"/>
    <n v="0"/>
    <n v="0"/>
    <n v="0"/>
    <n v="-18.102144684701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48"/>
    <s v="Regular"/>
    <s v="Verde"/>
    <s v="A4"/>
    <s v="Industrial"/>
    <s v="Não se aplica"/>
    <s v="Não se aplica"/>
    <s v="Não se aplica"/>
    <s v="Ponta"/>
    <s v="CATIVO"/>
    <x v="5"/>
    <n v="0"/>
    <n v="0"/>
    <n v="93.611999999999995"/>
    <n v="93.611999999999995"/>
    <n v="93.611999999999995"/>
    <n v="93.611999999999995"/>
    <m/>
    <n v="3312.96"/>
    <n v="119.97"/>
    <m/>
    <n v="321363.44315999997"/>
    <n v="321363.44315999997"/>
    <n v="278945.97371999995"/>
    <n v="0"/>
    <n v="4959.4275763484311"/>
    <n v="0"/>
    <n v="0"/>
    <n v="0"/>
    <n v="69987.982488367576"/>
    <n v="233392.57818602223"/>
    <n v="11230.991350993196"/>
    <n v="0"/>
    <n v="0"/>
    <n v="0"/>
    <n v="0"/>
    <n v="0"/>
    <n v="880.91006777987559"/>
    <m/>
    <n v="78.7026032868641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3.50696326859315"/>
    <n v="0"/>
    <n v="0"/>
    <n v="0"/>
    <n v="0"/>
    <n v="0"/>
    <m/>
    <m/>
    <m/>
    <m/>
    <m/>
    <m/>
    <m/>
    <m/>
    <m/>
    <n v="12064.498314261789"/>
    <m/>
    <m/>
    <m/>
    <m/>
    <m/>
    <m/>
    <m/>
    <m/>
    <m/>
    <m/>
    <m/>
    <m/>
    <n v="278940.01409999997"/>
    <n v="-42423.459060000023"/>
    <m/>
    <m/>
    <m/>
    <m/>
    <n v="-42417.469439999986"/>
    <n v="0"/>
    <n v="29"/>
    <n v="-944.93748479743954"/>
    <n v="0"/>
    <n v="0"/>
    <n v="0"/>
    <n v="0"/>
    <n v="0"/>
    <n v="0"/>
    <n v="0"/>
    <n v="-374.44829592999304"/>
    <n v="0"/>
    <n v="0"/>
    <n v="0"/>
    <n v="0"/>
    <n v="0"/>
    <n v="0"/>
    <n v="0"/>
    <n v="0"/>
    <n v="-488.91160442908404"/>
    <m/>
    <n v="0"/>
    <n v="0"/>
    <n v="0"/>
    <n v="0"/>
    <n v="-75.069662390934127"/>
    <n v="-6.5079220474292327"/>
    <n v="0"/>
    <n v="0"/>
    <m/>
    <m/>
    <m/>
    <n v="233392.57818602223"/>
    <n v="0"/>
    <n v="0"/>
    <n v="-42417.469440000015"/>
    <n v="0"/>
    <n v="0"/>
    <n v="0"/>
    <n v="-41472.453284457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49"/>
    <s v="Sistema de Compensação"/>
    <s v="Verde"/>
    <s v="A4"/>
    <s v="Industrial"/>
    <s v="Não se aplica"/>
    <s v="Não se aplica"/>
    <s v="Não se aplica"/>
    <s v="Ponta"/>
    <s v="CATIVO"/>
    <x v="5"/>
    <n v="0"/>
    <n v="0"/>
    <n v="2.6560000000000001"/>
    <n v="2.6560000000000001"/>
    <n v="2.6560000000000001"/>
    <n v="2.6560000000000001"/>
    <m/>
    <n v="3312.96"/>
    <n v="119.97"/>
    <m/>
    <n v="9117.8620800000008"/>
    <n v="9117.8620800000008"/>
    <n v="7914.3753600000009"/>
    <n v="0"/>
    <n v="140.71101613875823"/>
    <n v="0"/>
    <n v="0"/>
    <n v="0"/>
    <n v="1985.7291959268503"/>
    <n v="6621.9147936383706"/>
    <n v="318.65052587529306"/>
    <n v="0"/>
    <n v="0"/>
    <n v="0"/>
    <n v="0"/>
    <n v="0"/>
    <n v="24.993560013922892"/>
    <m/>
    <n v="2.2329841722205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648618707445451"/>
    <n v="0"/>
    <n v="0"/>
    <n v="0"/>
    <n v="0"/>
    <n v="0"/>
    <m/>
    <m/>
    <m/>
    <m/>
    <m/>
    <m/>
    <m/>
    <m/>
    <m/>
    <n v="342.29914458273851"/>
    <m/>
    <m/>
    <m/>
    <m/>
    <m/>
    <m/>
    <m/>
    <m/>
    <m/>
    <m/>
    <m/>
    <m/>
    <n v="7926.2946000000011"/>
    <n v="-1191.5974800000004"/>
    <m/>
    <m/>
    <m/>
    <m/>
    <n v="-1203.4867199999999"/>
    <n v="0"/>
    <n v="29"/>
    <n v="-26.81017347799434"/>
    <n v="0"/>
    <n v="0"/>
    <n v="0"/>
    <n v="0"/>
    <n v="0"/>
    <n v="0"/>
    <n v="0"/>
    <n v="-10.624008396253203"/>
    <n v="0"/>
    <n v="0"/>
    <n v="0"/>
    <n v="0"/>
    <n v="0"/>
    <n v="0"/>
    <n v="0"/>
    <n v="0"/>
    <n v="-13.871610705504068"/>
    <m/>
    <n v="0"/>
    <n v="0"/>
    <n v="0"/>
    <n v="0"/>
    <n v="-2.129908807741753"/>
    <n v="-0.18464556849519331"/>
    <n v="0"/>
    <n v="0"/>
    <m/>
    <m/>
    <m/>
    <n v="6621.9147936383706"/>
    <n v="0"/>
    <n v="0"/>
    <n v="-1203.4867199999999"/>
    <n v="0"/>
    <n v="0"/>
    <n v="0"/>
    <n v="-1176.6743144417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50"/>
    <s v="Regular"/>
    <s v="Verde"/>
    <s v="A4"/>
    <s v="Industrial"/>
    <s v="Não se aplica"/>
    <s v="Não se aplica"/>
    <s v="Não se aplica"/>
    <s v="Fora ponta"/>
    <s v="CATIVO"/>
    <x v="5"/>
    <n v="0"/>
    <n v="0"/>
    <n v="2134.518"/>
    <n v="2134.518"/>
    <n v="2134.518"/>
    <n v="2134.518"/>
    <m/>
    <n v="72.13"/>
    <n v="119.97"/>
    <m/>
    <n v="410040.90779999999"/>
    <n v="410040.90779999999"/>
    <n v="397041.69318"/>
    <n v="0"/>
    <n v="113083.65841358055"/>
    <n v="0"/>
    <n v="0"/>
    <n v="0"/>
    <n v="0"/>
    <n v="0"/>
    <n v="256086.32650236398"/>
    <n v="0"/>
    <n v="0"/>
    <n v="0"/>
    <n v="0"/>
    <n v="0"/>
    <n v="20086.296586520581"/>
    <m/>
    <n v="1794.55757128007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05.422555037294"/>
    <n v="0"/>
    <n v="0"/>
    <n v="0"/>
    <n v="0"/>
    <n v="0"/>
    <m/>
    <m/>
    <m/>
    <m/>
    <m/>
    <m/>
    <m/>
    <m/>
    <m/>
    <n v="275091.74905740126"/>
    <m/>
    <m/>
    <m/>
    <m/>
    <m/>
    <m/>
    <m/>
    <m/>
    <m/>
    <m/>
    <m/>
    <m/>
    <n v="397042.06520000001"/>
    <n v="-12998.872600000002"/>
    <m/>
    <m/>
    <m/>
    <m/>
    <n v="-12999.214619999977"/>
    <n v="0"/>
    <n v="29"/>
    <n v="-13008.155390793516"/>
    <n v="0"/>
    <n v="0"/>
    <n v="0"/>
    <n v="0"/>
    <n v="0"/>
    <n v="0"/>
    <n v="0"/>
    <n v="0"/>
    <n v="0"/>
    <n v="0"/>
    <n v="0"/>
    <n v="0"/>
    <n v="0"/>
    <n v="0"/>
    <n v="0"/>
    <n v="0"/>
    <n v="-11148.043200260217"/>
    <m/>
    <n v="0"/>
    <n v="0"/>
    <n v="0"/>
    <n v="0"/>
    <n v="-1711.7201387361856"/>
    <n v="-148.39205179714691"/>
    <n v="0"/>
    <n v="0"/>
    <m/>
    <m/>
    <m/>
    <n v="0"/>
    <n v="0"/>
    <n v="0"/>
    <n v="-12999.21461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51"/>
    <s v="Sistema de Compensação"/>
    <s v="Verde"/>
    <s v="A4"/>
    <s v="Industrial"/>
    <s v="Não se aplica"/>
    <s v="Não se aplica"/>
    <s v="Não se aplica"/>
    <s v="Fora ponta"/>
    <s v="CATIVO"/>
    <x v="5"/>
    <n v="0"/>
    <n v="0"/>
    <n v="8.0820000000000007"/>
    <n v="8.0820000000000007"/>
    <n v="8.0820000000000007"/>
    <n v="8.0820000000000007"/>
    <m/>
    <n v="72.13"/>
    <n v="119.97"/>
    <m/>
    <n v="1552.5522000000001"/>
    <n v="1552.5522000000001"/>
    <n v="1503.3328200000001"/>
    <n v="0"/>
    <n v="428.17260257283283"/>
    <n v="0"/>
    <n v="0"/>
    <n v="0"/>
    <n v="0"/>
    <n v="0"/>
    <n v="969.62859567926148"/>
    <n v="0"/>
    <n v="0"/>
    <n v="0"/>
    <n v="0"/>
    <n v="0"/>
    <n v="76.053445795378323"/>
    <m/>
    <n v="6.7947959638127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960894726496292"/>
    <n v="0"/>
    <n v="0"/>
    <n v="0"/>
    <n v="0"/>
    <n v="0"/>
    <m/>
    <m/>
    <m/>
    <m/>
    <m/>
    <m/>
    <m/>
    <m/>
    <m/>
    <n v="1041.5894904057577"/>
    <m/>
    <m/>
    <m/>
    <m/>
    <m/>
    <m/>
    <m/>
    <m/>
    <m/>
    <m/>
    <m/>
    <m/>
    <n v="1502.9608000000001"/>
    <n v="-49.621399999999994"/>
    <m/>
    <m/>
    <m/>
    <m/>
    <n v="-49.219379999999916"/>
    <n v="0"/>
    <n v="29"/>
    <n v="-49.253232752496615"/>
    <n v="0"/>
    <n v="0"/>
    <n v="0"/>
    <n v="0"/>
    <n v="0"/>
    <n v="0"/>
    <n v="0"/>
    <n v="0"/>
    <n v="0"/>
    <n v="0"/>
    <n v="0"/>
    <n v="0"/>
    <n v="0"/>
    <n v="0"/>
    <n v="0"/>
    <n v="0"/>
    <n v="-42.210225045890013"/>
    <m/>
    <n v="0"/>
    <n v="0"/>
    <n v="0"/>
    <n v="0"/>
    <n v="-6.4811457018708012"/>
    <n v="-0.56186200473574921"/>
    <n v="0"/>
    <n v="0"/>
    <m/>
    <m/>
    <m/>
    <n v="0"/>
    <n v="0"/>
    <n v="0"/>
    <n v="-49.219379999999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52"/>
    <s v="Regular"/>
    <s v="Verde"/>
    <s v="A4"/>
    <s v="Industrial"/>
    <s v="Não se aplica"/>
    <s v="Não se aplica"/>
    <s v="Não se aplica"/>
    <s v="Não se aplica"/>
    <s v="CATIVO"/>
    <x v="5"/>
    <n v="10722"/>
    <n v="10722"/>
    <n v="0"/>
    <n v="0"/>
    <n v="0"/>
    <n v="0"/>
    <n v="46.29"/>
    <m/>
    <m/>
    <n v="496321.38"/>
    <m/>
    <n v="496321.38"/>
    <n v="441210.3"/>
    <n v="0"/>
    <n v="0"/>
    <n v="0"/>
    <n v="0"/>
    <n v="0"/>
    <n v="192063.31866883748"/>
    <n v="304219.8983331766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72006.78"/>
    <n v="26"/>
    <m/>
    <m/>
    <m/>
    <m/>
    <m/>
    <m/>
    <m/>
    <m/>
    <m/>
    <n v="0"/>
    <m/>
    <m/>
    <m/>
    <m/>
    <m/>
    <m/>
    <m/>
    <m/>
    <m/>
    <m/>
    <m/>
    <m/>
    <n v="441210.3"/>
    <n v="-55111.110000000044"/>
    <m/>
    <m/>
    <m/>
    <m/>
    <n v="-55111.080000000009"/>
    <n v="0"/>
    <n v="29"/>
    <n v="-1027.5733037193713"/>
    <n v="0"/>
    <n v="0"/>
    <n v="0"/>
    <n v="0"/>
    <m/>
    <m/>
    <m/>
    <n v="-1027.57330371937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4219.89833317668"/>
    <m/>
    <n v="0"/>
    <n v="0"/>
    <n v="-55111.080000000016"/>
    <m/>
    <n v="0"/>
    <m/>
    <n v="-54058.040833540785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153"/>
    <s v="Sistema de Compensação"/>
    <s v="Verde"/>
    <s v="A4"/>
    <s v="Industrial"/>
    <s v="Não se aplica"/>
    <s v="Não se aplica"/>
    <s v="Não se aplica"/>
    <s v="Não se aplica"/>
    <s v="CATIVO"/>
    <x v="5"/>
    <n v="100"/>
    <n v="100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735.1499999999996"/>
    <n v="1"/>
    <m/>
    <m/>
    <m/>
    <m/>
    <m/>
    <m/>
    <m/>
    <m/>
    <m/>
    <n v="0"/>
    <m/>
    <m/>
    <m/>
    <m/>
    <m/>
    <m/>
    <m/>
    <m/>
    <m/>
    <m/>
    <m/>
    <m/>
    <n v="4115"/>
    <n v="-514.03000000000065"/>
    <m/>
    <m/>
    <m/>
    <m/>
    <n v="-514"/>
    <n v="0"/>
    <n v="29"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154"/>
    <s v="Regular"/>
    <s v="Branca"/>
    <s v="B3"/>
    <s v="Industrial"/>
    <s v="Não se aplica"/>
    <s v="Não se aplica"/>
    <s v="Não se aplica"/>
    <s v="Ponta"/>
    <s v="CATIVO"/>
    <x v="5"/>
    <n v="0"/>
    <n v="0"/>
    <n v="7.1999999999999995E-2"/>
    <n v="7.1999999999999995E-2"/>
    <n v="7.1999999999999995E-2"/>
    <n v="7.1999999999999995E-2"/>
    <m/>
    <n v="2187.66"/>
    <n v="119.97"/>
    <m/>
    <n v="166.14936"/>
    <n v="166.14936"/>
    <n v="143.3484"/>
    <n v="0"/>
    <n v="4.3844313296247908"/>
    <n v="0"/>
    <n v="0"/>
    <n v="0"/>
    <n v="26.322957704918085"/>
    <n v="124.69203619320022"/>
    <n v="8.6381166652940866"/>
    <n v="0"/>
    <n v="0"/>
    <n v="0"/>
    <n v="0"/>
    <n v="0"/>
    <n v="0.67753626543766876"/>
    <m/>
    <n v="0.1548935100868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796137724630463"/>
    <n v="0"/>
    <n v="0"/>
    <n v="0"/>
    <n v="0"/>
    <n v="0"/>
    <m/>
    <m/>
    <m/>
    <m/>
    <m/>
    <m/>
    <m/>
    <m/>
    <m/>
    <n v="9.9177304377571325"/>
    <m/>
    <m/>
    <m/>
    <m/>
    <m/>
    <m/>
    <m/>
    <m/>
    <m/>
    <m/>
    <m/>
    <m/>
    <n v="139.3665"/>
    <n v="-26.812859999999972"/>
    <m/>
    <m/>
    <m/>
    <m/>
    <n v="-22.800959999999986"/>
    <n v="0"/>
    <n v="29"/>
    <n v="-0.64360637429218315"/>
    <n v="0"/>
    <n v="0"/>
    <n v="0"/>
    <n v="0"/>
    <n v="0"/>
    <n v="0"/>
    <n v="0"/>
    <n v="-0.1408325587622663"/>
    <n v="0"/>
    <n v="0"/>
    <n v="0"/>
    <n v="0"/>
    <n v="0"/>
    <n v="0"/>
    <n v="0"/>
    <n v="0"/>
    <n v="-0.4322271719621158"/>
    <m/>
    <n v="0"/>
    <n v="0"/>
    <n v="0"/>
    <n v="0"/>
    <n v="-5.7738491776131995E-2"/>
    <n v="-1.2808151791675937E-2"/>
    <n v="0"/>
    <n v="0"/>
    <m/>
    <m/>
    <m/>
    <n v="124.69203619320022"/>
    <n v="0"/>
    <n v="0"/>
    <n v="-22.800960000000003"/>
    <n v="0"/>
    <n v="0"/>
    <n v="0"/>
    <n v="-22.157022670381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55"/>
    <s v="Regular"/>
    <s v="Branca"/>
    <s v="B3"/>
    <s v="Industrial"/>
    <s v="Não se aplica"/>
    <s v="Não se aplica"/>
    <s v="Não se aplica"/>
    <s v="Fora ponta"/>
    <s v="CATIVO"/>
    <x v="5"/>
    <n v="0"/>
    <n v="0"/>
    <n v="34.11"/>
    <n v="34.11"/>
    <n v="34.11"/>
    <n v="34.11"/>
    <m/>
    <n v="509.72"/>
    <n v="119.97"/>
    <m/>
    <n v="21478.725900000001"/>
    <n v="21478.725900000001"/>
    <n v="19127.5236"/>
    <n v="0"/>
    <n v="2077.1243424097447"/>
    <n v="0"/>
    <n v="0"/>
    <n v="0"/>
    <n v="2494.1002425409856"/>
    <n v="11814.580122021198"/>
    <n v="4092.3077701830739"/>
    <n v="0"/>
    <n v="0"/>
    <n v="0"/>
    <n v="0"/>
    <n v="0"/>
    <n v="320.98280575109555"/>
    <m/>
    <n v="73.38080040366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6.21702470436821"/>
    <n v="0"/>
    <n v="0"/>
    <n v="0"/>
    <n v="0"/>
    <n v="0"/>
    <m/>
    <m/>
    <m/>
    <m/>
    <m/>
    <m/>
    <m/>
    <m/>
    <m/>
    <n v="4698.5247948874421"/>
    <m/>
    <m/>
    <m/>
    <m/>
    <m/>
    <m/>
    <m/>
    <m/>
    <m/>
    <m/>
    <m/>
    <m/>
    <n v="19127.5236"/>
    <n v="-2351.232299999996"/>
    <m/>
    <m/>
    <m/>
    <m/>
    <n v="-2351.2023000000004"/>
    <n v="0"/>
    <n v="29"/>
    <n v="-251.53298005002216"/>
    <n v="0"/>
    <n v="0"/>
    <n v="0"/>
    <n v="0"/>
    <n v="0"/>
    <n v="0"/>
    <n v="0"/>
    <n v="-13.343884942721616"/>
    <n v="0"/>
    <n v="0"/>
    <n v="0"/>
    <n v="0"/>
    <n v="0"/>
    <n v="0"/>
    <n v="0"/>
    <n v="0"/>
    <n v="-204.76762271705229"/>
    <m/>
    <n v="0"/>
    <n v="0"/>
    <n v="0"/>
    <n v="0"/>
    <n v="-27.353610478942471"/>
    <n v="-6.0678619113064798"/>
    <n v="0"/>
    <n v="0"/>
    <m/>
    <m/>
    <m/>
    <n v="11814.580122021198"/>
    <n v="0"/>
    <n v="0"/>
    <n v="-2351.2023000000008"/>
    <n v="0"/>
    <n v="0"/>
    <n v="0"/>
    <n v="-2099.379620355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56"/>
    <s v="Regular"/>
    <s v="Branca"/>
    <s v="B3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134.12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157"/>
    <s v="Sistema de Compensação"/>
    <s v="Branca"/>
    <s v="B3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17.7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158"/>
    <s v="Regular"/>
    <s v="Branca"/>
    <s v="B3"/>
    <s v="Industrial"/>
    <s v="Não se aplica"/>
    <s v="Não se aplica"/>
    <s v="Não se aplica"/>
    <s v="Intermediário"/>
    <s v="CATIVO"/>
    <x v="5"/>
    <n v="0"/>
    <n v="0"/>
    <n v="0.19600000000000001"/>
    <n v="0.19600000000000001"/>
    <n v="0.19600000000000001"/>
    <n v="0.19600000000000001"/>
    <m/>
    <n v="1348.63"/>
    <n v="119.97"/>
    <m/>
    <n v="287.84560000000005"/>
    <n v="287.84560000000005"/>
    <n v="250.05679999999998"/>
    <n v="0"/>
    <n v="11.935396397311932"/>
    <n v="0"/>
    <n v="0"/>
    <n v="0"/>
    <n v="42.98218148540974"/>
    <n v="203.66364055040668"/>
    <n v="23.514873144411684"/>
    <n v="0"/>
    <n v="0"/>
    <n v="0"/>
    <n v="0"/>
    <n v="0"/>
    <n v="1.844404278135876"/>
    <m/>
    <n v="0.421654555236542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83393047260515"/>
    <n v="0"/>
    <n v="0"/>
    <n v="0"/>
    <n v="0"/>
    <n v="0"/>
    <m/>
    <m/>
    <m/>
    <m/>
    <m/>
    <m/>
    <m/>
    <m/>
    <m/>
    <n v="26.998266191672201"/>
    <m/>
    <m/>
    <m/>
    <m/>
    <m/>
    <m/>
    <m/>
    <m/>
    <m/>
    <m/>
    <m/>
    <m/>
    <n v="255.16"/>
    <n v="-32.715600000000023"/>
    <m/>
    <m/>
    <m/>
    <m/>
    <n v="-37.788800000000037"/>
    <n v="0"/>
    <n v="29"/>
    <n v="-1.5986244560785963"/>
    <n v="0"/>
    <n v="0"/>
    <n v="0"/>
    <n v="0"/>
    <n v="0"/>
    <n v="0"/>
    <n v="0"/>
    <n v="-0.22996240269158363"/>
    <n v="0"/>
    <n v="0"/>
    <n v="0"/>
    <n v="0"/>
    <n v="0"/>
    <n v="0"/>
    <n v="0"/>
    <n v="0"/>
    <n v="-1.1766184125635384"/>
    <m/>
    <n v="0"/>
    <n v="0"/>
    <n v="0"/>
    <n v="0"/>
    <n v="-0.15717700539058121"/>
    <n v="-3.4866635432895643E-2"/>
    <n v="0"/>
    <n v="0"/>
    <m/>
    <m/>
    <m/>
    <n v="203.66364055040668"/>
    <n v="0"/>
    <n v="0"/>
    <n v="-37.788800000000066"/>
    <n v="0"/>
    <n v="0"/>
    <n v="0"/>
    <n v="-36.18980039604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59"/>
    <s v="Regular"/>
    <s v="Convencional"/>
    <s v="B3"/>
    <s v="Comercial"/>
    <s v="Não se aplica"/>
    <s v="Não se aplica"/>
    <s v="Não se aplica"/>
    <s v="Não se aplica"/>
    <s v="CATIVO"/>
    <x v="5"/>
    <n v="0"/>
    <n v="0"/>
    <n v="104.35299999999999"/>
    <n v="104.35299999999999"/>
    <n v="104.35299999999999"/>
    <n v="104.35299999999999"/>
    <m/>
    <n v="707.13"/>
    <n v="119.97"/>
    <m/>
    <n v="86310.366299999994"/>
    <n v="86310.366299999994"/>
    <n v="76076.467589999986"/>
    <n v="0"/>
    <n v="6354.5633686157753"/>
    <n v="0"/>
    <n v="0"/>
    <n v="0"/>
    <n v="11222.039264831228"/>
    <n v="53153.551781916547"/>
    <n v="12519.630394075471"/>
    <n v="0"/>
    <n v="0"/>
    <n v="0"/>
    <n v="0"/>
    <n v="0"/>
    <n v="981.98530426690343"/>
    <m/>
    <n v="224.49447858468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4.6046666366149"/>
    <n v="0"/>
    <n v="0"/>
    <n v="0"/>
    <n v="28642.58"/>
    <n v="267"/>
    <m/>
    <m/>
    <m/>
    <m/>
    <m/>
    <m/>
    <m/>
    <m/>
    <m/>
    <n v="14374.235060712086"/>
    <m/>
    <m/>
    <m/>
    <m/>
    <m/>
    <m/>
    <m/>
    <m/>
    <m/>
    <m/>
    <m/>
    <m/>
    <n v="76074.280499999993"/>
    <n v="-10236.115799999985"/>
    <m/>
    <m/>
    <m/>
    <m/>
    <n v="-10233.898710000005"/>
    <n v="0"/>
    <n v="29"/>
    <n v="-788.73376166028174"/>
    <n v="0"/>
    <n v="0"/>
    <n v="0"/>
    <n v="0"/>
    <n v="0"/>
    <n v="0"/>
    <n v="0"/>
    <n v="-60.039928715919814"/>
    <n v="0"/>
    <n v="0"/>
    <n v="0"/>
    <n v="0"/>
    <n v="0"/>
    <n v="0"/>
    <n v="0"/>
    <n v="0"/>
    <n v="-626.44725105226007"/>
    <m/>
    <n v="0"/>
    <n v="0"/>
    <n v="0"/>
    <n v="0"/>
    <n v="-83.683122671037381"/>
    <n v="-18.563459221066097"/>
    <n v="0"/>
    <n v="0"/>
    <m/>
    <m/>
    <m/>
    <n v="53153.551781916547"/>
    <n v="0"/>
    <n v="0"/>
    <n v="-10233.898710000001"/>
    <n v="0"/>
    <n v="0"/>
    <n v="0"/>
    <n v="-9445.0655214133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60"/>
    <s v="Refaturamento - Regular"/>
    <s v="Convencional"/>
    <s v="B3"/>
    <s v="Comercial"/>
    <s v="Não se aplica"/>
    <s v="Não se aplica"/>
    <s v="Não se aplica"/>
    <s v="Não se aplica"/>
    <s v="CATIVO"/>
    <x v="5"/>
    <n v="0"/>
    <n v="0"/>
    <n v="-5.2809999999999997"/>
    <n v="-5.2809999999999997"/>
    <n v="-5.2809999999999997"/>
    <n v="-5.2809999999999997"/>
    <m/>
    <n v="707.13"/>
    <n v="119.97"/>
    <m/>
    <n v="-4367.9151000000002"/>
    <n v="-4367.9151000000002"/>
    <n v="-3850.0074299999992"/>
    <n v="0"/>
    <n v="-321.5858590520628"/>
    <n v="0"/>
    <n v="0"/>
    <n v="0"/>
    <n v="-567.91457224587418"/>
    <n v="-2689.9457318936807"/>
    <n v="-633.58186263080665"/>
    <n v="0"/>
    <n v="0"/>
    <n v="0"/>
    <n v="0"/>
    <n v="0"/>
    <n v="-49.695403024671229"/>
    <m/>
    <n v="-11.361008705123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3.856115727463163"/>
    <n v="0"/>
    <n v="0"/>
    <n v="0"/>
    <n v="-1533.3"/>
    <n v="0"/>
    <m/>
    <m/>
    <m/>
    <m/>
    <m/>
    <m/>
    <m/>
    <m/>
    <m/>
    <n v="-727.43797835826979"/>
    <m/>
    <m/>
    <m/>
    <m/>
    <m/>
    <m/>
    <m/>
    <m/>
    <m/>
    <m/>
    <m/>
    <m/>
    <n v="-3849.2784000000001"/>
    <n v="518.60669999999936"/>
    <m/>
    <m/>
    <m/>
    <m/>
    <n v="517.90767000000028"/>
    <n v="0"/>
    <n v="29"/>
    <n v="39.915507894625989"/>
    <n v="0"/>
    <n v="0"/>
    <n v="0"/>
    <n v="0"/>
    <n v="0"/>
    <n v="0"/>
    <n v="0"/>
    <n v="3.0384451194385065"/>
    <n v="0"/>
    <n v="0"/>
    <n v="0"/>
    <n v="0"/>
    <n v="0"/>
    <n v="0"/>
    <n v="0"/>
    <n v="0"/>
    <n v="31.702662432387967"/>
    <m/>
    <n v="0"/>
    <n v="0"/>
    <n v="0"/>
    <n v="0"/>
    <n v="4.2349579870798948"/>
    <n v="0.93944235572000778"/>
    <n v="0"/>
    <n v="0"/>
    <m/>
    <m/>
    <m/>
    <n v="-2689.9457318936807"/>
    <n v="0"/>
    <n v="0"/>
    <n v="517.90767000000051"/>
    <n v="0"/>
    <n v="0"/>
    <n v="0"/>
    <n v="477.98713039954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61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20.271000000000001"/>
    <n v="20.271000000000001"/>
    <n v="20.271000000000001"/>
    <n v="20.271000000000001"/>
    <m/>
    <n v="707.13"/>
    <n v="119.97"/>
    <m/>
    <n v="16766.144099999998"/>
    <n v="16766.144099999998"/>
    <n v="14778.16713"/>
    <n v="0"/>
    <n v="1234.4001039281131"/>
    <n v="0"/>
    <n v="0"/>
    <n v="0"/>
    <n v="2179.9273421693083"/>
    <n v="10325.296332364478"/>
    <n v="2431.9897628080066"/>
    <n v="0"/>
    <n v="0"/>
    <n v="0"/>
    <n v="0"/>
    <n v="0"/>
    <n v="190.75468939843034"/>
    <m/>
    <n v="43.608976985714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0.26459418886685"/>
    <n v="0"/>
    <n v="0"/>
    <n v="0"/>
    <n v="8506.57"/>
    <n v="8"/>
    <m/>
    <m/>
    <m/>
    <m/>
    <m/>
    <m/>
    <m/>
    <m/>
    <m/>
    <n v="2792.2543569968734"/>
    <m/>
    <m/>
    <m/>
    <m/>
    <m/>
    <m/>
    <m/>
    <m/>
    <m/>
    <m/>
    <m/>
    <m/>
    <n v="14777.438099999999"/>
    <n v="-1988.7360000000008"/>
    <m/>
    <m/>
    <m/>
    <m/>
    <n v="-1987.9769700000011"/>
    <n v="0"/>
    <n v="29"/>
    <n v="-153.21478139215651"/>
    <n v="0"/>
    <n v="0"/>
    <n v="0"/>
    <n v="0"/>
    <n v="0"/>
    <n v="0"/>
    <n v="0"/>
    <n v="-11.663003411500995"/>
    <n v="0"/>
    <n v="0"/>
    <n v="0"/>
    <n v="0"/>
    <n v="0"/>
    <n v="0"/>
    <n v="0"/>
    <n v="0"/>
    <n v="-121.6899583728341"/>
    <m/>
    <n v="0"/>
    <n v="0"/>
    <n v="0"/>
    <n v="0"/>
    <n v="-16.255791205471809"/>
    <n v="-3.6060284023481017"/>
    <n v="0"/>
    <n v="0"/>
    <m/>
    <m/>
    <m/>
    <n v="10325.296332364478"/>
    <n v="0"/>
    <n v="0"/>
    <n v="-1987.9769699999997"/>
    <n v="0"/>
    <n v="0"/>
    <n v="0"/>
    <n v="-1834.742874517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62"/>
    <s v="Regular"/>
    <s v="Convencional"/>
    <s v="B2"/>
    <s v="Rural"/>
    <s v="Não se aplica"/>
    <s v="Não se aplica"/>
    <s v="Não se aplica"/>
    <s v="Não se aplica"/>
    <s v="CATIVO"/>
    <x v="5"/>
    <n v="0"/>
    <n v="0"/>
    <n v="325.15499999999997"/>
    <n v="325.15499999999997"/>
    <n v="325.15499999999997"/>
    <n v="325.15499999999997"/>
    <m/>
    <n v="707.13"/>
    <n v="119.97"/>
    <m/>
    <n v="268935.70049999998"/>
    <n v="268935.70049999998"/>
    <n v="237047.74964999995"/>
    <n v="0"/>
    <n v="19800.27456922429"/>
    <n v="0"/>
    <n v="0"/>
    <n v="0"/>
    <n v="34966.91208835585"/>
    <n v="165621.90957278729"/>
    <n v="39010.094781995816"/>
    <n v="0"/>
    <n v="0"/>
    <n v="0"/>
    <n v="0"/>
    <n v="0"/>
    <n v="3059.7820053942382"/>
    <m/>
    <n v="699.50554544866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78.7891136836361"/>
    <n v="0"/>
    <n v="0"/>
    <n v="0"/>
    <n v="54902.12"/>
    <n v="707"/>
    <m/>
    <m/>
    <m/>
    <m/>
    <m/>
    <n v="28444.559399999969"/>
    <m/>
    <m/>
    <m/>
    <n v="44788.88389567945"/>
    <m/>
    <m/>
    <m/>
    <m/>
    <m/>
    <m/>
    <m/>
    <m/>
    <m/>
    <m/>
    <m/>
    <m/>
    <n v="208606.39800000002"/>
    <n v="-28060.950299999968"/>
    <m/>
    <m/>
    <m/>
    <m/>
    <n v="-31887.950850000012"/>
    <n v="0"/>
    <n v="29"/>
    <n v="-2457.6267694522394"/>
    <n v="0"/>
    <n v="0"/>
    <n v="0"/>
    <n v="0"/>
    <n v="0"/>
    <n v="0"/>
    <n v="0"/>
    <n v="-187.07926961011981"/>
    <n v="0"/>
    <n v="0"/>
    <n v="0"/>
    <n v="0"/>
    <n v="0"/>
    <n v="0"/>
    <n v="0"/>
    <n v="0"/>
    <n v="-1951.955918046413"/>
    <m/>
    <n v="0"/>
    <n v="0"/>
    <n v="0"/>
    <n v="0"/>
    <n v="-260.74943463150203"/>
    <n v="-57.842147164199787"/>
    <n v="0"/>
    <n v="0"/>
    <m/>
    <m/>
    <m/>
    <n v="165621.90957278729"/>
    <n v="0"/>
    <n v="0"/>
    <n v="-31887.950850000023"/>
    <n v="0"/>
    <n v="0"/>
    <n v="0"/>
    <n v="-29430.014274770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63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0.47399999999999998"/>
    <n v="-0.47399999999999998"/>
    <n v="-0.47399999999999998"/>
    <n v="-0.47399999999999998"/>
    <m/>
    <n v="707.13"/>
    <n v="119.97"/>
    <m/>
    <n v="-392.04539999999997"/>
    <n v="-392.04539999999997"/>
    <n v="-345.56021999999996"/>
    <n v="0"/>
    <n v="-28.864172920029873"/>
    <n v="0"/>
    <n v="0"/>
    <n v="0"/>
    <n v="-50.973585920193976"/>
    <n v="-241.43803766665494"/>
    <n v="-56.867601379852744"/>
    <n v="0"/>
    <n v="0"/>
    <n v="0"/>
    <n v="0"/>
    <n v="0"/>
    <n v="-4.4604470807979855"/>
    <m/>
    <n v="-1.0197156080720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424124002048389"/>
    <n v="0"/>
    <n v="0"/>
    <n v="0"/>
    <n v="-57.43"/>
    <n v="0"/>
    <m/>
    <m/>
    <m/>
    <m/>
    <m/>
    <n v="-41.465519999999955"/>
    <m/>
    <m/>
    <m/>
    <n v="-65.291725381901131"/>
    <m/>
    <m/>
    <m/>
    <m/>
    <m/>
    <m/>
    <m/>
    <m/>
    <m/>
    <m/>
    <m/>
    <m/>
    <n v="-301.52850000000001"/>
    <n v="43.44713999999999"/>
    <m/>
    <m/>
    <m/>
    <m/>
    <n v="46.485180000000021"/>
    <n v="0"/>
    <n v="29"/>
    <n v="3.5826454728371289"/>
    <n v="0"/>
    <n v="0"/>
    <n v="0"/>
    <n v="0"/>
    <n v="0"/>
    <n v="0"/>
    <n v="0"/>
    <n v="0.27271785393180181"/>
    <n v="0"/>
    <n v="0"/>
    <n v="0"/>
    <n v="0"/>
    <n v="0"/>
    <n v="0"/>
    <n v="0"/>
    <n v="0"/>
    <n v="2.8454955487505948"/>
    <m/>
    <n v="0"/>
    <n v="0"/>
    <n v="0"/>
    <n v="0"/>
    <n v="0.38011173752620131"/>
    <n v="8.4320332628533223E-2"/>
    <n v="0"/>
    <n v="0"/>
    <m/>
    <m/>
    <m/>
    <n v="-241.43803766665494"/>
    <n v="0"/>
    <n v="0"/>
    <n v="46.485180000000014"/>
    <n v="0"/>
    <n v="0"/>
    <n v="0"/>
    <n v="42.902082902742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64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18.158999999999999"/>
    <n v="18.158999999999999"/>
    <n v="18.158999999999999"/>
    <n v="18.158999999999999"/>
    <m/>
    <n v="707.13"/>
    <n v="119.97"/>
    <m/>
    <n v="15019.308899999998"/>
    <n v="15019.308899999998"/>
    <n v="13238.455769999999"/>
    <n v="0"/>
    <n v="1105.7901182591193"/>
    <n v="0"/>
    <n v="0"/>
    <n v="0"/>
    <n v="1952.8045289552795"/>
    <n v="9249.5217847864697"/>
    <n v="2178.6050072927128"/>
    <n v="0"/>
    <n v="0"/>
    <n v="0"/>
    <n v="0"/>
    <n v="0"/>
    <n v="170.88029227892537"/>
    <m/>
    <n v="39.065434023165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2.72925686328415"/>
    <n v="0"/>
    <n v="0"/>
    <n v="0"/>
    <n v="6128.16"/>
    <n v="13"/>
    <m/>
    <m/>
    <m/>
    <m/>
    <m/>
    <n v="1588.5493199999985"/>
    <m/>
    <m/>
    <m/>
    <n v="2501.3342641559971"/>
    <m/>
    <m/>
    <m/>
    <m/>
    <m/>
    <m/>
    <m/>
    <m/>
    <m/>
    <m/>
    <m/>
    <m/>
    <n v="11650.548000000001"/>
    <n v="-1566.6917399999984"/>
    <m/>
    <m/>
    <m/>
    <m/>
    <n v="-1780.8531300000009"/>
    <n v="0"/>
    <n v="29"/>
    <n v="-137.25160156381753"/>
    <n v="0"/>
    <n v="0"/>
    <n v="0"/>
    <n v="0"/>
    <n v="0"/>
    <n v="0"/>
    <n v="0"/>
    <n v="-10.447855505374946"/>
    <n v="0"/>
    <n v="0"/>
    <n v="0"/>
    <n v="0"/>
    <n v="0"/>
    <n v="0"/>
    <n v="0"/>
    <n v="0"/>
    <n v="-109.0112946619455"/>
    <m/>
    <n v="0"/>
    <n v="0"/>
    <n v="0"/>
    <n v="0"/>
    <n v="-14.562128780038591"/>
    <n v="-3.2303226164589347"/>
    <n v="0"/>
    <n v="0"/>
    <m/>
    <m/>
    <m/>
    <n v="9249.5217847864697"/>
    <n v="0"/>
    <n v="0"/>
    <n v="-1780.8531299999995"/>
    <n v="0"/>
    <n v="0"/>
    <n v="0"/>
    <n v="-1643.58422664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65"/>
    <s v="Sistema de Compensação"/>
    <s v="Verde"/>
    <s v="A4"/>
    <s v="Rural"/>
    <s v="Não se aplica"/>
    <s v="Não se aplica"/>
    <s v="Não se aplica"/>
    <s v="Ponta"/>
    <s v="CATIVO"/>
    <x v="5"/>
    <n v="0"/>
    <n v="0"/>
    <n v="0.223"/>
    <n v="0.21407999999999999"/>
    <n v="0.223"/>
    <n v="0.21407999999999999"/>
    <m/>
    <n v="3312.96"/>
    <n v="119.97"/>
    <m/>
    <n v="765.54339000000004"/>
    <n v="765.54339000000004"/>
    <n v="664.49763000000007"/>
    <n v="0"/>
    <n v="11.814215586951462"/>
    <n v="0"/>
    <n v="0"/>
    <n v="0"/>
    <n v="166.72349800138841"/>
    <n v="555.98155082129392"/>
    <n v="26.754166893896969"/>
    <n v="0"/>
    <n v="0"/>
    <n v="0"/>
    <n v="0"/>
    <n v="0"/>
    <n v="2.0984803776750018"/>
    <m/>
    <n v="0.18748323433930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855579712953071"/>
    <n v="0"/>
    <n v="0"/>
    <n v="0"/>
    <n v="0"/>
    <n v="0"/>
    <m/>
    <m/>
    <m/>
    <m/>
    <m/>
    <n v="26.579905200000034"/>
    <m/>
    <m/>
    <m/>
    <n v="28.739724865192276"/>
    <m/>
    <m/>
    <m/>
    <m/>
    <m/>
    <m/>
    <m/>
    <m/>
    <m/>
    <m/>
    <m/>
    <m/>
    <n v="625.76010000000008"/>
    <n v="-109.19155439999986"/>
    <m/>
    <m/>
    <m/>
    <m/>
    <n v="-101.04575999999997"/>
    <n v="0"/>
    <n v="29"/>
    <n v="-2.2510047762021372"/>
    <n v="0"/>
    <n v="0"/>
    <n v="0"/>
    <n v="0"/>
    <n v="0"/>
    <n v="0"/>
    <n v="0"/>
    <n v="-0.89200070495652994"/>
    <n v="0"/>
    <n v="0"/>
    <n v="0"/>
    <n v="0"/>
    <n v="0"/>
    <n v="0"/>
    <n v="0"/>
    <n v="0"/>
    <n v="-1.1646721337829096"/>
    <m/>
    <n v="0"/>
    <n v="0"/>
    <n v="0"/>
    <n v="0"/>
    <n v="-0.17882893980663073"/>
    <n v="-1.5502997656034662E-2"/>
    <n v="0"/>
    <n v="0"/>
    <m/>
    <m/>
    <m/>
    <n v="555.98155082129392"/>
    <n v="0"/>
    <n v="0"/>
    <n v="-101.04575999999997"/>
    <n v="0"/>
    <n v="0"/>
    <n v="0"/>
    <n v="-98.794567816456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66"/>
    <s v="Sistema de Compensação"/>
    <s v="Verde"/>
    <s v="A4"/>
    <s v="Rural"/>
    <s v="Não se aplica"/>
    <s v="Não se aplica"/>
    <s v="Não se aplica"/>
    <s v="Fora ponta"/>
    <s v="CATIVO"/>
    <x v="5"/>
    <n v="0"/>
    <n v="0"/>
    <n v="4.3380000000000001"/>
    <n v="4.1644800000000002"/>
    <n v="4.3380000000000001"/>
    <n v="4.1644800000000002"/>
    <m/>
    <n v="72.13"/>
    <n v="119.97"/>
    <m/>
    <n v="833.32979999999998"/>
    <n v="833.32979999999998"/>
    <n v="806.91138000000001"/>
    <n v="0"/>
    <n v="229.82092922060738"/>
    <n v="0"/>
    <n v="0"/>
    <n v="0"/>
    <n v="0"/>
    <n v="0"/>
    <n v="520.44652908396881"/>
    <n v="0"/>
    <n v="0"/>
    <n v="0"/>
    <n v="0"/>
    <n v="0"/>
    <n v="40.821559992619541"/>
    <m/>
    <n v="3.64709538369457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624890042506912"/>
    <n v="0"/>
    <n v="0"/>
    <n v="0"/>
    <n v="0"/>
    <n v="0"/>
    <m/>
    <m/>
    <m/>
    <m/>
    <m/>
    <n v="32.27645519999998"/>
    <m/>
    <m/>
    <m/>
    <n v="559.07141912647569"/>
    <m/>
    <m/>
    <m/>
    <m/>
    <m/>
    <m/>
    <m/>
    <m/>
    <m/>
    <m/>
    <m/>
    <m/>
    <n v="773.80160000000001"/>
    <n v="-26.225007999999889"/>
    <m/>
    <m/>
    <m/>
    <m/>
    <n v="-26.418419999999955"/>
    <n v="0"/>
    <n v="29"/>
    <n v="-26.436590408355642"/>
    <n v="0"/>
    <n v="0"/>
    <n v="0"/>
    <n v="0"/>
    <n v="0"/>
    <n v="0"/>
    <n v="0"/>
    <n v="0"/>
    <n v="0"/>
    <n v="0"/>
    <n v="0"/>
    <n v="0"/>
    <n v="0"/>
    <n v="0"/>
    <n v="0"/>
    <n v="0"/>
    <n v="-22.656267786324065"/>
    <m/>
    <n v="0"/>
    <n v="0"/>
    <n v="0"/>
    <n v="0"/>
    <n v="-3.478744129511945"/>
    <n v="-0.30157849251963365"/>
    <n v="0"/>
    <n v="0"/>
    <m/>
    <m/>
    <m/>
    <n v="0"/>
    <n v="0"/>
    <n v="0"/>
    <n v="-26.418419999999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67"/>
    <s v="Sistema de Compensação"/>
    <s v="Verde"/>
    <s v="A4"/>
    <s v="Rural"/>
    <s v="Não se aplica"/>
    <s v="Não se aplica"/>
    <s v="Não se aplica"/>
    <s v="Não se aplica"/>
    <s v="CATIVO"/>
    <x v="5"/>
    <n v="41"/>
    <n v="39.36"/>
    <n v="0"/>
    <n v="0"/>
    <n v="0"/>
    <n v="0"/>
    <n v="46.29"/>
    <m/>
    <m/>
    <n v="1897.8899999999999"/>
    <m/>
    <n v="1897.8899999999999"/>
    <n v="1687.1499999999999"/>
    <n v="0"/>
    <n v="0"/>
    <n v="0"/>
    <n v="0"/>
    <n v="0"/>
    <n v="734.43350731415194"/>
    <n v="1163.31056068459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89.8"/>
    <n v="1"/>
    <m/>
    <m/>
    <m/>
    <m/>
    <m/>
    <n v="67.486000000000018"/>
    <m/>
    <m/>
    <m/>
    <n v="0"/>
    <m/>
    <m/>
    <m/>
    <m/>
    <m/>
    <m/>
    <m/>
    <m/>
    <m/>
    <m/>
    <m/>
    <m/>
    <n v="1619.664"/>
    <n v="-202.34039999999982"/>
    <m/>
    <m/>
    <m/>
    <m/>
    <n v="-210.74"/>
    <n v="0"/>
    <n v="29"/>
    <n v="-3.9293513759088228"/>
    <n v="0"/>
    <n v="0"/>
    <n v="0"/>
    <n v="0"/>
    <m/>
    <m/>
    <m/>
    <n v="-3.92935137590882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63.3105606845963"/>
    <m/>
    <n v="0"/>
    <n v="0"/>
    <n v="-210.74"/>
    <m/>
    <n v="0"/>
    <m/>
    <n v="-206.71326936907019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168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34.493000000000002"/>
    <n v="34.493000000000002"/>
    <n v="34.493000000000002"/>
    <n v="34.493000000000002"/>
    <m/>
    <n v="707.13"/>
    <n v="119.97"/>
    <m/>
    <n v="28529.160300000003"/>
    <n v="28529.160300000003"/>
    <n v="25146.431790000002"/>
    <n v="0"/>
    <n v="2100.4470812881659"/>
    <n v="0"/>
    <n v="0"/>
    <n v="0"/>
    <n v="3709.349998196732"/>
    <n v="17569.456188261454"/>
    <n v="4138.2577518887356"/>
    <n v="0"/>
    <n v="0"/>
    <n v="0"/>
    <n v="0"/>
    <n v="0"/>
    <n v="324.58692227418766"/>
    <m/>
    <n v="74.204747825377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3.02385907733139"/>
    <n v="0"/>
    <n v="0"/>
    <n v="0"/>
    <n v="9398.89"/>
    <n v="82"/>
    <m/>
    <m/>
    <m/>
    <m/>
    <m/>
    <m/>
    <m/>
    <m/>
    <m/>
    <n v="4751.2816109660671"/>
    <m/>
    <m/>
    <m/>
    <m/>
    <m/>
    <m/>
    <m/>
    <m/>
    <m/>
    <m/>
    <m/>
    <m/>
    <n v="25144.244699999999"/>
    <n v="-3384.9455999999991"/>
    <m/>
    <m/>
    <m/>
    <m/>
    <n v="-3382.7285100000017"/>
    <n v="0"/>
    <n v="29"/>
    <n v="-260.70926222483467"/>
    <n v="0"/>
    <n v="0"/>
    <n v="0"/>
    <n v="0"/>
    <n v="0"/>
    <n v="0"/>
    <n v="0"/>
    <n v="-19.845689737699558"/>
    <n v="0"/>
    <n v="0"/>
    <n v="0"/>
    <n v="0"/>
    <n v="0"/>
    <n v="0"/>
    <n v="0"/>
    <n v="0"/>
    <n v="-207.06683114568455"/>
    <m/>
    <n v="0"/>
    <n v="0"/>
    <n v="0"/>
    <n v="0"/>
    <n v="-27.660747178251654"/>
    <n v="-6.135994163198319"/>
    <n v="0"/>
    <n v="0"/>
    <m/>
    <m/>
    <m/>
    <n v="17569.456188261454"/>
    <n v="0"/>
    <n v="0"/>
    <n v="-3382.7285100000008"/>
    <n v="0"/>
    <n v="0"/>
    <n v="0"/>
    <n v="-3121.9863830470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69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84.697999999999993"/>
    <n v="84.697999999999993"/>
    <n v="84.697999999999993"/>
    <n v="84.697999999999993"/>
    <m/>
    <n v="388.92"/>
    <n v="65.989999999999995"/>
    <m/>
    <n v="38529.967179999992"/>
    <n v="38529.967179999992"/>
    <n v="33961.357059999995"/>
    <n v="0"/>
    <n v="2836.7209807792856"/>
    <n v="0"/>
    <n v="0"/>
    <n v="0"/>
    <n v="5009.5958420838015"/>
    <n v="23728.112664260949"/>
    <n v="5588.8494850610123"/>
    <n v="0"/>
    <n v="0"/>
    <n v="0"/>
    <n v="0"/>
    <n v="0"/>
    <n v="438.36502271558072"/>
    <m/>
    <n v="100.21588589634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7.90833354223957"/>
    <n v="0"/>
    <n v="0"/>
    <n v="0"/>
    <n v="15329.48"/>
    <n v="2"/>
    <m/>
    <m/>
    <m/>
    <m/>
    <m/>
    <m/>
    <m/>
    <m/>
    <m/>
    <n v="6416.7578186032515"/>
    <m/>
    <m/>
    <m/>
    <m/>
    <m/>
    <m/>
    <m/>
    <m/>
    <m/>
    <m/>
    <m/>
    <m/>
    <n v="33962.159000000007"/>
    <n v="-4567.8381799999916"/>
    <m/>
    <m/>
    <m/>
    <m/>
    <n v="-4568.6101199999994"/>
    <n v="0"/>
    <n v="29"/>
    <n v="-352.09619924494655"/>
    <n v="0"/>
    <n v="0"/>
    <n v="0"/>
    <n v="0"/>
    <n v="0"/>
    <n v="0"/>
    <n v="0"/>
    <n v="-26.802238894049879"/>
    <n v="0"/>
    <n v="0"/>
    <n v="0"/>
    <n v="0"/>
    <n v="0"/>
    <n v="0"/>
    <n v="0"/>
    <n v="0"/>
    <n v="-279.65037994397471"/>
    <m/>
    <n v="0"/>
    <n v="0"/>
    <n v="0"/>
    <n v="0"/>
    <n v="-37.35672398680714"/>
    <n v="-8.2868564201149866"/>
    <n v="0"/>
    <n v="0"/>
    <m/>
    <m/>
    <m/>
    <n v="23728.112664260949"/>
    <n v="0"/>
    <n v="0"/>
    <n v="-4568.6101199999976"/>
    <n v="0"/>
    <n v="0"/>
    <n v="0"/>
    <n v="-4216.342488888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70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5.7190000000000003"/>
    <n v="5.3758600000000003"/>
    <n v="5.7190000000000003"/>
    <n v="5.3758600000000003"/>
    <m/>
    <n v="707.13"/>
    <n v="119.97"/>
    <m/>
    <n v="4730.1849000000002"/>
    <n v="4730.1849000000002"/>
    <n v="4169.3225700000003"/>
    <n v="0"/>
    <n v="348.25781630728034"/>
    <n v="0"/>
    <n v="0"/>
    <n v="0"/>
    <n v="615.01674657719275"/>
    <n v="2913.0467034084381"/>
    <n v="686.13040567801238"/>
    <n v="0"/>
    <n v="0"/>
    <n v="0"/>
    <n v="0"/>
    <n v="0"/>
    <n v="53.817081972750387"/>
    <m/>
    <n v="12.303277558151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.64043284328004"/>
    <n v="0"/>
    <n v="0"/>
    <n v="0"/>
    <n v="1577.05"/>
    <n v="7"/>
    <m/>
    <m/>
    <m/>
    <m/>
    <n v="250.1593542"/>
    <m/>
    <m/>
    <m/>
    <m/>
    <n v="787.77083852129238"/>
    <m/>
    <m/>
    <m/>
    <m/>
    <m/>
    <m/>
    <m/>
    <m/>
    <m/>
    <m/>
    <m/>
    <m/>
    <n v="3922.1813999999995"/>
    <n v="-524.22240600000168"/>
    <m/>
    <m/>
    <m/>
    <m/>
    <n v="-560.86233000000027"/>
    <n v="0"/>
    <n v="29"/>
    <n v="-43.226053711298846"/>
    <n v="0"/>
    <n v="0"/>
    <n v="0"/>
    <n v="0"/>
    <n v="0"/>
    <n v="0"/>
    <n v="0"/>
    <n v="-3.2904502249704137"/>
    <n v="0"/>
    <n v="0"/>
    <n v="0"/>
    <n v="0"/>
    <n v="0"/>
    <n v="0"/>
    <n v="0"/>
    <n v="0"/>
    <n v="-34.332044395157538"/>
    <m/>
    <n v="0"/>
    <n v="0"/>
    <n v="0"/>
    <n v="0"/>
    <n v="-4.5862004787180339"/>
    <n v="-1.0173586124527052"/>
    <n v="0"/>
    <n v="0"/>
    <m/>
    <m/>
    <m/>
    <n v="2913.0467034084381"/>
    <n v="0"/>
    <n v="0"/>
    <n v="-560.86232999999993"/>
    <n v="0"/>
    <n v="0"/>
    <n v="0"/>
    <n v="-517.63082725904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71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3.3929999999999998"/>
    <n v="3.1894200000000001"/>
    <n v="3.3929999999999998"/>
    <n v="3.1894200000000001"/>
    <m/>
    <n v="3312.96"/>
    <n v="119.97"/>
    <m/>
    <n v="11647.931489999999"/>
    <n v="11647.931489999999"/>
    <n v="10110.49533"/>
    <n v="0"/>
    <n v="179.7562039754543"/>
    <n v="0"/>
    <n v="0"/>
    <n v="0"/>
    <n v="2536.7391422363712"/>
    <n v="8459.3964212405826"/>
    <n v="407.07124785198386"/>
    <n v="0"/>
    <n v="0"/>
    <n v="0"/>
    <n v="0"/>
    <n v="0"/>
    <n v="31.928896508750139"/>
    <m/>
    <n v="2.852603650732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210754244865363"/>
    <n v="0"/>
    <n v="0"/>
    <n v="0"/>
    <n v="0"/>
    <n v="0"/>
    <m/>
    <m/>
    <m/>
    <m/>
    <n v="606.62971979999895"/>
    <m/>
    <m/>
    <m/>
    <m/>
    <n v="437.28200209684923"/>
    <m/>
    <m/>
    <m/>
    <m/>
    <m/>
    <m/>
    <m/>
    <m/>
    <m/>
    <m/>
    <m/>
    <m/>
    <n v="9505.5938999999998"/>
    <n v="-1443.4917006000014"/>
    <m/>
    <m/>
    <m/>
    <m/>
    <n v="-1537.4361599999995"/>
    <n v="0"/>
    <n v="29"/>
    <n v="-34.249592850464978"/>
    <n v="0"/>
    <n v="0"/>
    <n v="0"/>
    <n v="0"/>
    <n v="0"/>
    <n v="0"/>
    <n v="0"/>
    <n v="-13.572010726087228"/>
    <n v="0"/>
    <n v="0"/>
    <n v="0"/>
    <n v="0"/>
    <n v="0"/>
    <n v="0"/>
    <n v="0"/>
    <n v="0"/>
    <n v="-17.72077376648167"/>
    <m/>
    <n v="0"/>
    <n v="0"/>
    <n v="0"/>
    <n v="0"/>
    <n v="-2.7209264249502176"/>
    <n v="-0.2358819329458548"/>
    <n v="0"/>
    <n v="0"/>
    <m/>
    <m/>
    <m/>
    <n v="8459.3964212405826"/>
    <n v="0"/>
    <n v="0"/>
    <n v="-1537.4361599999993"/>
    <n v="0"/>
    <n v="0"/>
    <n v="0"/>
    <n v="-1503.1837157006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72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27.297999999999998"/>
    <n v="25.660119999999999"/>
    <n v="27.297999999999998"/>
    <n v="25.660119999999999"/>
    <m/>
    <n v="72.13"/>
    <n v="119.97"/>
    <m/>
    <n v="5243.9457999999995"/>
    <n v="5243.9457999999995"/>
    <n v="5077.7009799999996"/>
    <n v="0"/>
    <n v="1446.2083277695112"/>
    <n v="0"/>
    <n v="0"/>
    <n v="0"/>
    <n v="0"/>
    <n v="0"/>
    <n v="3275.0459545721942"/>
    <n v="0"/>
    <n v="0"/>
    <n v="0"/>
    <n v="0"/>
    <n v="0"/>
    <n v="256.88034685996502"/>
    <m/>
    <n v="22.9503019327096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.05722645927932"/>
    <n v="0"/>
    <n v="0"/>
    <n v="0"/>
    <n v="0"/>
    <n v="0"/>
    <m/>
    <m/>
    <m/>
    <m/>
    <n v="304.66205879999984"/>
    <m/>
    <m/>
    <m/>
    <m/>
    <n v="3518.1031810314735"/>
    <m/>
    <m/>
    <m/>
    <m/>
    <m/>
    <m/>
    <m/>
    <m/>
    <m/>
    <m/>
    <m/>
    <m/>
    <n v="4773.0165999999999"/>
    <n v="-156.32245199999943"/>
    <m/>
    <m/>
    <m/>
    <m/>
    <n v="-166.24481999999969"/>
    <n v="0"/>
    <n v="29"/>
    <n v="-166.35916204870773"/>
    <n v="0"/>
    <n v="0"/>
    <n v="0"/>
    <n v="0"/>
    <n v="0"/>
    <n v="0"/>
    <n v="0"/>
    <n v="0"/>
    <n v="0"/>
    <n v="0"/>
    <n v="0"/>
    <n v="0"/>
    <n v="0"/>
    <n v="0"/>
    <n v="0"/>
    <n v="0"/>
    <n v="-142.57049286101301"/>
    <m/>
    <n v="0"/>
    <n v="0"/>
    <n v="0"/>
    <n v="0"/>
    <n v="-21.890907618122895"/>
    <n v="-1.897761569571454"/>
    <n v="0"/>
    <n v="0"/>
    <m/>
    <m/>
    <m/>
    <n v="0"/>
    <n v="0"/>
    <n v="0"/>
    <n v="-166.24481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73"/>
    <s v="Regular"/>
    <s v="Verde"/>
    <s v="A4"/>
    <s v="Serviço público"/>
    <s v="Água, esgoto e saneamento"/>
    <s v="Não se aplica"/>
    <s v="Não se aplica"/>
    <s v="Não se aplica"/>
    <s v="CATIVO"/>
    <x v="5"/>
    <n v="100"/>
    <n v="94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501.04"/>
    <n v="1"/>
    <m/>
    <m/>
    <m/>
    <m/>
    <n v="246.89999999999998"/>
    <m/>
    <m/>
    <m/>
    <m/>
    <n v="0"/>
    <m/>
    <m/>
    <m/>
    <m/>
    <m/>
    <m/>
    <m/>
    <m/>
    <m/>
    <m/>
    <m/>
    <m/>
    <n v="3868.1"/>
    <n v="-483.19000000000096"/>
    <m/>
    <m/>
    <m/>
    <m/>
    <n v="-514"/>
    <n v="0"/>
    <n v="29"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174"/>
    <s v="Regular"/>
    <s v="Convencional"/>
    <s v="B1"/>
    <s v="Residencial"/>
    <s v="Residencial"/>
    <s v="Não se aplica"/>
    <s v="Não se aplica"/>
    <s v="Não se aplica"/>
    <s v="CATIVO"/>
    <x v="6"/>
    <n v="0"/>
    <n v="0"/>
    <n v="772.06100000000004"/>
    <n v="772.06100000000004"/>
    <n v="772.06100000000004"/>
    <n v="772.06100000000004"/>
    <m/>
    <n v="707.13"/>
    <n v="119.97"/>
    <m/>
    <n v="638571.6531"/>
    <n v="638571.6531"/>
    <n v="562855.63082999992"/>
    <n v="0"/>
    <n v="47014.561621964531"/>
    <n v="0"/>
    <n v="0"/>
    <n v="0"/>
    <n v="83026.830631077813"/>
    <n v="393259.26750834449"/>
    <n v="92627.124871161373"/>
    <n v="0"/>
    <n v="0"/>
    <n v="0"/>
    <n v="0"/>
    <n v="0"/>
    <n v="7265.2684254176665"/>
    <m/>
    <n v="1660.9338651555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21.387344188779"/>
    <n v="0"/>
    <n v="0"/>
    <n v="0"/>
    <n v="161063.95000000001"/>
    <n v="3120"/>
    <m/>
    <m/>
    <m/>
    <m/>
    <m/>
    <m/>
    <m/>
    <m/>
    <m/>
    <n v="106348.51221535016"/>
    <m/>
    <m/>
    <m/>
    <m/>
    <m/>
    <m/>
    <m/>
    <m/>
    <m/>
    <m/>
    <m/>
    <m/>
    <n v="562854.90179999988"/>
    <n v="-75716.781300000148"/>
    <m/>
    <m/>
    <m/>
    <m/>
    <n v="-75716.022270000045"/>
    <n v="0"/>
    <n v="31"/>
    <n v="-5835.4870177301927"/>
    <n v="0"/>
    <n v="0"/>
    <n v="0"/>
    <n v="0"/>
    <n v="0"/>
    <n v="0"/>
    <n v="0"/>
    <n v="-444.2084789545188"/>
    <n v="0"/>
    <n v="0"/>
    <n v="0"/>
    <n v="0"/>
    <n v="0"/>
    <n v="0"/>
    <n v="0"/>
    <n v="0"/>
    <n v="-4634.801980725606"/>
    <m/>
    <n v="0"/>
    <n v="0"/>
    <n v="0"/>
    <n v="0"/>
    <n v="-619.1338569329464"/>
    <n v="-137.34270111712658"/>
    <n v="0"/>
    <n v="0"/>
    <m/>
    <m/>
    <m/>
    <n v="393259.26750834449"/>
    <n v="0"/>
    <n v="0"/>
    <n v="-75716.022270000074"/>
    <n v="0"/>
    <n v="0"/>
    <n v="0"/>
    <n v="-69879.799637077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75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190.22"/>
    <n v="-190.22"/>
    <n v="-190.22"/>
    <n v="-190.22"/>
    <m/>
    <n v="707.13"/>
    <n v="119.97"/>
    <m/>
    <n v="-157330.962"/>
    <n v="-157330.962"/>
    <n v="-138676.08659999998"/>
    <n v="0"/>
    <n v="-11583.423993350387"/>
    <n v="0"/>
    <n v="0"/>
    <n v="0"/>
    <n v="-20456.10867877489"/>
    <n v="-96891.020094833555"/>
    <n v="-22821.424334336687"/>
    <n v="0"/>
    <n v="0"/>
    <n v="0"/>
    <n v="0"/>
    <n v="0"/>
    <n v="-1790.0131723826855"/>
    <m/>
    <n v="-409.220048454567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380.6684971933428"/>
    <n v="0"/>
    <n v="0"/>
    <n v="0"/>
    <n v="-55109.64"/>
    <n v="0"/>
    <m/>
    <m/>
    <m/>
    <m/>
    <m/>
    <m/>
    <m/>
    <m/>
    <m/>
    <n v="-26202.09283153003"/>
    <m/>
    <m/>
    <m/>
    <m/>
    <m/>
    <m/>
    <m/>
    <m/>
    <m/>
    <m/>
    <m/>
    <m/>
    <n v="-138676.08659999998"/>
    <n v="18654.845399999991"/>
    <m/>
    <m/>
    <m/>
    <m/>
    <n v="18654.875400000008"/>
    <n v="0"/>
    <n v="31"/>
    <n v="1437.7443498799184"/>
    <n v="0"/>
    <n v="0"/>
    <n v="0"/>
    <n v="0"/>
    <n v="0"/>
    <n v="0"/>
    <n v="0"/>
    <n v="109.44386112849679"/>
    <n v="0"/>
    <n v="0"/>
    <n v="0"/>
    <n v="0"/>
    <n v="0"/>
    <n v="0"/>
    <n v="0"/>
    <n v="0"/>
    <n v="1141.9201757032479"/>
    <m/>
    <n v="0"/>
    <n v="0"/>
    <n v="0"/>
    <n v="0"/>
    <n v="152.54188757855309"/>
    <n v="33.838425469619438"/>
    <n v="0"/>
    <n v="0"/>
    <m/>
    <m/>
    <m/>
    <n v="-96891.020094833555"/>
    <n v="0"/>
    <n v="0"/>
    <n v="18654.875400000019"/>
    <n v="0"/>
    <n v="0"/>
    <n v="0"/>
    <n v="17216.949809619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76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10.331"/>
    <n v="10.331"/>
    <n v="10.331"/>
    <n v="10.331"/>
    <m/>
    <n v="707.13"/>
    <n v="119.97"/>
    <m/>
    <n v="8544.7700999999997"/>
    <n v="8544.7700999999997"/>
    <n v="7531.6089299999994"/>
    <n v="0"/>
    <n v="629.1050009215794"/>
    <n v="0"/>
    <n v="0"/>
    <n v="0"/>
    <n v="1110.987586796464"/>
    <n v="5262.2286226460174"/>
    <n v="1239.449767627128"/>
    <n v="0"/>
    <n v="0"/>
    <n v="0"/>
    <n v="0"/>
    <n v="0"/>
    <n v="97.217043864396601"/>
    <m/>
    <n v="22.2250673987179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6068039349407"/>
    <n v="0"/>
    <n v="0"/>
    <n v="0"/>
    <n v="4985.8"/>
    <n v="42"/>
    <m/>
    <m/>
    <m/>
    <m/>
    <m/>
    <m/>
    <m/>
    <m/>
    <m/>
    <n v="1423.0565715620687"/>
    <m/>
    <m/>
    <m/>
    <m/>
    <m/>
    <m/>
    <m/>
    <m/>
    <m/>
    <m/>
    <m/>
    <m/>
    <n v="7530.8798999999999"/>
    <n v="-1013.9202000000005"/>
    <m/>
    <m/>
    <m/>
    <m/>
    <n v="-1013.1611700000004"/>
    <n v="0"/>
    <n v="31"/>
    <n v="-78.085042995528511"/>
    <n v="0"/>
    <n v="0"/>
    <n v="0"/>
    <n v="0"/>
    <n v="0"/>
    <n v="0"/>
    <n v="0"/>
    <n v="-5.9439834366444302"/>
    <n v="0"/>
    <n v="0"/>
    <n v="0"/>
    <n v="0"/>
    <n v="0"/>
    <n v="0"/>
    <n v="0"/>
    <n v="0"/>
    <n v="-62.01859602139757"/>
    <m/>
    <n v="0"/>
    <n v="0"/>
    <n v="0"/>
    <n v="0"/>
    <n v="-8.2846716463780297"/>
    <n v="-1.8377918911083917"/>
    <n v="0"/>
    <n v="0"/>
    <m/>
    <m/>
    <m/>
    <n v="5262.2286226460174"/>
    <n v="0"/>
    <n v="0"/>
    <n v="-1013.1611700000003"/>
    <n v="0"/>
    <n v="0"/>
    <n v="0"/>
    <n v="-935.06628368826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4.53"/>
    <n v="4.53"/>
    <n v="4.53"/>
    <n v="4.53"/>
    <m/>
    <n v="636.83000000000004"/>
    <n v="119.97"/>
    <m/>
    <n v="3428.3040000000005"/>
    <n v="3428.3040000000005"/>
    <n v="3014.8508999999999"/>
    <n v="0"/>
    <n v="0"/>
    <n v="0"/>
    <n v="0"/>
    <n v="0"/>
    <n v="487.15262493349945"/>
    <n v="2307.4141574471455"/>
    <n v="543.48150685808639"/>
    <n v="0"/>
    <n v="0"/>
    <n v="0"/>
    <n v="0"/>
    <n v="0"/>
    <n v="0"/>
    <m/>
    <n v="9.7453833429670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509033184133344"/>
    <n v="0"/>
    <n v="0"/>
    <n v="0"/>
    <n v="143.44999999999999"/>
    <n v="9"/>
    <m/>
    <m/>
    <m/>
    <m/>
    <m/>
    <m/>
    <m/>
    <n v="1959.6326999999999"/>
    <m/>
    <n v="623.99054004221978"/>
    <m/>
    <m/>
    <m/>
    <m/>
    <m/>
    <m/>
    <m/>
    <m/>
    <m/>
    <m/>
    <m/>
    <m/>
    <n v="1055.2182"/>
    <n v="-144.71820000000002"/>
    <m/>
    <m/>
    <m/>
    <m/>
    <n v="-413.45310000000046"/>
    <n v="0"/>
    <n v="31"/>
    <n v="-3.4122003905449674"/>
    <n v="0"/>
    <n v="0"/>
    <n v="0"/>
    <n v="0"/>
    <n v="0"/>
    <n v="0"/>
    <n v="0"/>
    <n v="-2.6063541736520506"/>
    <n v="0"/>
    <n v="0"/>
    <n v="0"/>
    <n v="0"/>
    <n v="0"/>
    <n v="0"/>
    <n v="0"/>
    <n v="0"/>
    <n v="0"/>
    <m/>
    <n v="0"/>
    <n v="0"/>
    <n v="0"/>
    <n v="0"/>
    <n v="0"/>
    <n v="-0.80584621689294345"/>
    <n v="0"/>
    <n v="0"/>
    <m/>
    <m/>
    <m/>
    <n v="2307.4141574471455"/>
    <n v="0"/>
    <n v="0"/>
    <n v="-413.45310000000063"/>
    <n v="0"/>
    <n v="0"/>
    <n v="0"/>
    <n v="-410.01357710849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78"/>
    <s v="Refaturamento - 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.03"/>
    <n v="0.03"/>
    <n v="0.03"/>
    <n v="0.03"/>
    <m/>
    <n v="636.83000000000004"/>
    <n v="119.97"/>
    <m/>
    <n v="22.704000000000001"/>
    <n v="22.704000000000001"/>
    <n v="19.965899999999998"/>
    <n v="0"/>
    <n v="0"/>
    <n v="0"/>
    <n v="0"/>
    <n v="0"/>
    <n v="3.22617632406291"/>
    <n v="15.28088845991487"/>
    <n v="3.5992152772058699"/>
    <n v="0"/>
    <n v="0"/>
    <n v="0"/>
    <n v="0"/>
    <n v="0"/>
    <n v="0"/>
    <m/>
    <n v="6.45389625362055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3317240519293596"/>
    <n v="0"/>
    <n v="0"/>
    <n v="0"/>
    <n v="0.95"/>
    <n v="0"/>
    <m/>
    <m/>
    <m/>
    <m/>
    <m/>
    <m/>
    <m/>
    <n v="12.977699999999997"/>
    <m/>
    <n v="4.1323876823988055"/>
    <m/>
    <m/>
    <m/>
    <m/>
    <m/>
    <m/>
    <m/>
    <m/>
    <m/>
    <m/>
    <m/>
    <m/>
    <n v="6.9881999999999991"/>
    <n v="-0.98819999999999908"/>
    <m/>
    <m/>
    <m/>
    <m/>
    <n v="-2.7381000000000029"/>
    <n v="0"/>
    <n v="31"/>
    <n v="-2.2597353579768331E-2"/>
    <n v="0"/>
    <n v="0"/>
    <n v="0"/>
    <n v="0"/>
    <n v="0"/>
    <n v="0"/>
    <n v="0"/>
    <n v="-1.7260623666569774E-2"/>
    <n v="0"/>
    <n v="0"/>
    <n v="0"/>
    <n v="0"/>
    <n v="0"/>
    <n v="0"/>
    <n v="0"/>
    <n v="0"/>
    <n v="0"/>
    <m/>
    <n v="0"/>
    <n v="0"/>
    <n v="0"/>
    <n v="0"/>
    <n v="0"/>
    <n v="-5.336729913198307E-3"/>
    <n v="0"/>
    <n v="0"/>
    <m/>
    <m/>
    <m/>
    <n v="15.28088845991487"/>
    <n v="0"/>
    <n v="0"/>
    <n v="-2.7381000000000029"/>
    <n v="0"/>
    <n v="0"/>
    <n v="0"/>
    <n v="-2.715321702705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79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9.3979999999999997"/>
    <n v="9.3979999999999997"/>
    <n v="9.3979999999999997"/>
    <n v="9.3979999999999997"/>
    <m/>
    <n v="636.83000000000004"/>
    <n v="119.97"/>
    <m/>
    <n v="7112.4063999999998"/>
    <n v="7112.4063999999998"/>
    <n v="6254.6509399999995"/>
    <n v="0"/>
    <n v="0"/>
    <n v="0"/>
    <n v="0"/>
    <n v="0"/>
    <n v="1010.6535031181076"/>
    <n v="4786.9929915426646"/>
    <n v="1127.5141725060255"/>
    <n v="0"/>
    <n v="0"/>
    <n v="0"/>
    <n v="0"/>
    <n v="0"/>
    <n v="0"/>
    <m/>
    <n v="20.2179056638419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.0251421334404"/>
    <n v="0"/>
    <n v="0"/>
    <n v="0"/>
    <n v="511.43"/>
    <n v="20"/>
    <m/>
    <m/>
    <m/>
    <m/>
    <m/>
    <m/>
    <m/>
    <n v="2501.8415799999993"/>
    <m/>
    <n v="1294.5393146394658"/>
    <m/>
    <m/>
    <m/>
    <m/>
    <m/>
    <m/>
    <m/>
    <m/>
    <m/>
    <m/>
    <m/>
    <m/>
    <n v="3753.6080000000002"/>
    <n v="-513.86584000000039"/>
    <m/>
    <m/>
    <m/>
    <m/>
    <n v="-857.75546000000088"/>
    <n v="0"/>
    <n v="31"/>
    <n v="-7.0789976314217711"/>
    <n v="0"/>
    <n v="0"/>
    <n v="0"/>
    <n v="0"/>
    <n v="0"/>
    <n v="0"/>
    <n v="0"/>
    <n v="-5.4071780406140988"/>
    <n v="0"/>
    <n v="0"/>
    <n v="0"/>
    <n v="0"/>
    <n v="0"/>
    <n v="0"/>
    <n v="0"/>
    <n v="0"/>
    <n v="0"/>
    <m/>
    <n v="0"/>
    <n v="0"/>
    <n v="0"/>
    <n v="0"/>
    <n v="0"/>
    <n v="-1.6718195908079245"/>
    <n v="0"/>
    <n v="0"/>
    <m/>
    <m/>
    <m/>
    <n v="4786.9929915426646"/>
    <n v="0"/>
    <n v="0"/>
    <n v="-857.75546000000122"/>
    <n v="0"/>
    <n v="0"/>
    <n v="0"/>
    <n v="-850.61977873412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80"/>
    <s v="Refaturamento - 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7.0000000000000007E-2"/>
    <n v="7.0000000000000007E-2"/>
    <n v="7.0000000000000007E-2"/>
    <n v="7.0000000000000007E-2"/>
    <m/>
    <n v="636.83000000000004"/>
    <n v="119.97"/>
    <m/>
    <n v="52.976000000000006"/>
    <n v="52.976000000000006"/>
    <n v="46.5871"/>
    <n v="0"/>
    <n v="0"/>
    <n v="0"/>
    <n v="0"/>
    <n v="0"/>
    <n v="7.5277447561467907"/>
    <n v="35.655406406468032"/>
    <n v="8.3981689801470303"/>
    <n v="0"/>
    <n v="0"/>
    <n v="0"/>
    <n v="0"/>
    <n v="0"/>
    <n v="0"/>
    <m/>
    <n v="0.150590912584479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440689454501841"/>
    <n v="0"/>
    <n v="0"/>
    <n v="0"/>
    <n v="3.81"/>
    <n v="0"/>
    <m/>
    <m/>
    <m/>
    <m/>
    <m/>
    <m/>
    <m/>
    <n v="18.634699999999999"/>
    <m/>
    <n v="9.6422379255972146"/>
    <m/>
    <m/>
    <m/>
    <m/>
    <m/>
    <m/>
    <m/>
    <m/>
    <m/>
    <m/>
    <m/>
    <m/>
    <n v="27.952400000000004"/>
    <n v="-3.8632000000000026"/>
    <m/>
    <m/>
    <m/>
    <m/>
    <n v="-6.3889000000000076"/>
    <n v="0"/>
    <n v="31"/>
    <n v="-5.2727158352791292E-2"/>
    <n v="0"/>
    <n v="0"/>
    <n v="0"/>
    <n v="0"/>
    <n v="0"/>
    <n v="0"/>
    <n v="0"/>
    <n v="-4.0274788555329621E-2"/>
    <n v="0"/>
    <n v="0"/>
    <n v="0"/>
    <n v="0"/>
    <n v="0"/>
    <n v="0"/>
    <n v="0"/>
    <n v="0"/>
    <n v="0"/>
    <m/>
    <n v="0"/>
    <n v="0"/>
    <n v="0"/>
    <n v="0"/>
    <n v="0"/>
    <n v="-1.2452369797462726E-2"/>
    <n v="0"/>
    <n v="0"/>
    <m/>
    <m/>
    <m/>
    <n v="35.655406406468032"/>
    <n v="0"/>
    <n v="0"/>
    <n v="-6.3889000000000067"/>
    <n v="0"/>
    <n v="0"/>
    <n v="0"/>
    <n v="-6.3357506396455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9.8089999999999993"/>
    <n v="9.8089999999999993"/>
    <n v="9.8089999999999993"/>
    <n v="9.8089999999999993"/>
    <m/>
    <n v="636.83000000000004"/>
    <n v="119.97"/>
    <m/>
    <n v="7423.4511999999995"/>
    <n v="7423.4511999999995"/>
    <n v="6528.1837699999987"/>
    <n v="0"/>
    <n v="0"/>
    <n v="0"/>
    <n v="0"/>
    <n v="0"/>
    <n v="1054.8521187577694"/>
    <n v="4996.3411634434979"/>
    <n v="1176.8234218037458"/>
    <n v="0"/>
    <n v="0"/>
    <n v="0"/>
    <n v="0"/>
    <n v="0"/>
    <n v="0"/>
    <m/>
    <n v="21.102089450587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4.32960408458362"/>
    <n v="0"/>
    <n v="0"/>
    <n v="0"/>
    <n v="1347.61"/>
    <n v="71"/>
    <m/>
    <m/>
    <m/>
    <m/>
    <m/>
    <m/>
    <m/>
    <n v="652.69085999999936"/>
    <m/>
    <n v="1351.1530258883295"/>
    <m/>
    <m/>
    <m/>
    <m/>
    <m/>
    <m/>
    <m/>
    <m/>
    <m/>
    <m/>
    <m/>
    <m/>
    <n v="5876.0919000000004"/>
    <n v="-805.04417999999987"/>
    <m/>
    <m/>
    <m/>
    <m/>
    <n v="-895.2674300000009"/>
    <n v="0"/>
    <n v="31"/>
    <n v="-7.3885813754645824"/>
    <n v="0"/>
    <n v="0"/>
    <n v="0"/>
    <n v="0"/>
    <n v="0"/>
    <n v="0"/>
    <n v="0"/>
    <n v="-5.6436485848460052"/>
    <n v="0"/>
    <n v="0"/>
    <n v="0"/>
    <n v="0"/>
    <n v="0"/>
    <n v="0"/>
    <n v="0"/>
    <n v="0"/>
    <n v="0"/>
    <m/>
    <n v="0"/>
    <n v="0"/>
    <n v="0"/>
    <n v="0"/>
    <n v="0"/>
    <n v="-1.7449327906187406"/>
    <n v="0"/>
    <n v="0"/>
    <m/>
    <m/>
    <m/>
    <n v="4996.3411634434979"/>
    <n v="0"/>
    <n v="0"/>
    <n v="-895.26743000000079"/>
    <n v="0"/>
    <n v="0"/>
    <n v="0"/>
    <n v="-887.81968606118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82"/>
    <s v="Refaturamento - 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5.0999999999999997E-2"/>
    <n v="5.0999999999999997E-2"/>
    <n v="5.0999999999999997E-2"/>
    <n v="5.0999999999999997E-2"/>
    <m/>
    <n v="636.83000000000004"/>
    <n v="119.97"/>
    <m/>
    <n v="38.596800000000002"/>
    <n v="38.596800000000002"/>
    <n v="33.942029999999995"/>
    <n v="0"/>
    <n v="0"/>
    <n v="0"/>
    <n v="0"/>
    <n v="0"/>
    <n v="5.4844997509069469"/>
    <n v="25.977510381855279"/>
    <n v="6.1186659712499782"/>
    <n v="0"/>
    <n v="0"/>
    <n v="0"/>
    <n v="0"/>
    <n v="0"/>
    <n v="0"/>
    <m/>
    <n v="0.109716236311549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0639308882799108"/>
    <n v="0"/>
    <n v="0"/>
    <n v="0"/>
    <n v="4.2699999999999996"/>
    <n v="0"/>
    <m/>
    <m/>
    <m/>
    <m/>
    <m/>
    <m/>
    <m/>
    <n v="3.3935399999999971"/>
    <m/>
    <n v="7.025059060077969"/>
    <m/>
    <m/>
    <m/>
    <m/>
    <m/>
    <m/>
    <m/>
    <m/>
    <m/>
    <m/>
    <m/>
    <m/>
    <n v="29.9495"/>
    <n v="-4.817619999999998"/>
    <m/>
    <m/>
    <m/>
    <m/>
    <n v="-4.6547700000000045"/>
    <n v="0"/>
    <n v="31"/>
    <n v="-3.8415501085607318E-2"/>
    <n v="0"/>
    <n v="0"/>
    <n v="0"/>
    <n v="0"/>
    <n v="0"/>
    <n v="0"/>
    <n v="0"/>
    <n v="-2.9343060233168572E-2"/>
    <n v="0"/>
    <n v="0"/>
    <n v="0"/>
    <n v="0"/>
    <n v="0"/>
    <n v="0"/>
    <n v="0"/>
    <n v="0"/>
    <n v="0"/>
    <m/>
    <n v="0"/>
    <n v="0"/>
    <n v="0"/>
    <n v="0"/>
    <n v="0"/>
    <n v="-9.0724408524371219E-3"/>
    <n v="0"/>
    <n v="0"/>
    <m/>
    <m/>
    <m/>
    <n v="25.977510381855279"/>
    <n v="0"/>
    <n v="0"/>
    <n v="-4.6547700000000027"/>
    <n v="0"/>
    <n v="0"/>
    <n v="0"/>
    <n v="-4.616046894598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83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5.5119999999999996"/>
    <n v="5.5119999999999996"/>
    <n v="5.5119999999999996"/>
    <n v="5.5119999999999996"/>
    <m/>
    <n v="636.83000000000004"/>
    <n v="119.97"/>
    <m/>
    <n v="4171.4816000000001"/>
    <n v="4171.4816000000001"/>
    <n v="3668.4013599999994"/>
    <n v="0"/>
    <n v="0"/>
    <n v="0"/>
    <n v="0"/>
    <n v="0"/>
    <n v="592.75612994115863"/>
    <n v="2807.6085730350251"/>
    <n v="661.29582026529181"/>
    <n v="0"/>
    <n v="0"/>
    <n v="0"/>
    <n v="0"/>
    <n v="0"/>
    <n v="0"/>
    <m/>
    <n v="11.857958716652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.961543247448759"/>
    <n v="0"/>
    <n v="0"/>
    <n v="0"/>
    <n v="1222.55"/>
    <n v="51"/>
    <m/>
    <m/>
    <m/>
    <m/>
    <m/>
    <m/>
    <m/>
    <m/>
    <m/>
    <n v="759.25736351274054"/>
    <m/>
    <m/>
    <m/>
    <m/>
    <m/>
    <m/>
    <m/>
    <m/>
    <m/>
    <m/>
    <m/>
    <m/>
    <n v="3667.0702999999994"/>
    <n v="-504.44130000000132"/>
    <m/>
    <m/>
    <m/>
    <m/>
    <n v="-503.08024000000052"/>
    <n v="0"/>
    <n v="31"/>
    <n v="-4.1518870977224651"/>
    <n v="0"/>
    <n v="0"/>
    <n v="0"/>
    <n v="0"/>
    <n v="0"/>
    <n v="0"/>
    <n v="0"/>
    <n v="-3.1713519216710893"/>
    <n v="0"/>
    <n v="0"/>
    <n v="0"/>
    <n v="0"/>
    <n v="0"/>
    <n v="0"/>
    <n v="0"/>
    <n v="0"/>
    <n v="0"/>
    <m/>
    <n v="0"/>
    <n v="0"/>
    <n v="0"/>
    <n v="0"/>
    <n v="0"/>
    <n v="-0.98053517605163698"/>
    <n v="0"/>
    <n v="0"/>
    <m/>
    <m/>
    <m/>
    <n v="2807.6085730350251"/>
    <n v="0"/>
    <n v="0"/>
    <n v="-503.08024000000069"/>
    <n v="0"/>
    <n v="0"/>
    <n v="0"/>
    <n v="-498.89510751037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84"/>
    <s v="Regular"/>
    <s v="Convencional"/>
    <s v="B3"/>
    <s v="Industrial"/>
    <s v="Não se aplica"/>
    <s v="Não se aplica"/>
    <s v="Não se aplica"/>
    <s v="Não se aplica"/>
    <s v="CATIVO"/>
    <x v="6"/>
    <n v="0"/>
    <n v="0"/>
    <n v="128.958"/>
    <n v="128.958"/>
    <n v="128.958"/>
    <n v="128.958"/>
    <m/>
    <n v="707.13"/>
    <n v="119.97"/>
    <m/>
    <n v="106661.1618"/>
    <n v="106661.1618"/>
    <n v="94014.250739999989"/>
    <n v="0"/>
    <n v="7852.8818806354702"/>
    <n v="0"/>
    <n v="0"/>
    <n v="0"/>
    <n v="13868.041546616825"/>
    <n v="65686.427133790057"/>
    <n v="15471.586790597152"/>
    <n v="0"/>
    <n v="0"/>
    <n v="0"/>
    <n v="0"/>
    <n v="0"/>
    <n v="1213.523912754318"/>
    <m/>
    <n v="277.42718435813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91.8949009623548"/>
    <n v="0"/>
    <n v="0"/>
    <n v="0"/>
    <n v="37441.64"/>
    <n v="67"/>
    <m/>
    <m/>
    <m/>
    <m/>
    <m/>
    <m/>
    <m/>
    <m/>
    <m/>
    <n v="17763.481691559507"/>
    <m/>
    <m/>
    <m/>
    <m/>
    <m/>
    <m/>
    <m/>
    <m/>
    <m/>
    <m/>
    <m/>
    <m/>
    <n v="94015.708799999993"/>
    <n v="-12645.482999999993"/>
    <m/>
    <m/>
    <m/>
    <m/>
    <n v="-12646.911060000006"/>
    <n v="0"/>
    <n v="31"/>
    <n v="-974.70631832516665"/>
    <n v="0"/>
    <n v="0"/>
    <n v="0"/>
    <n v="0"/>
    <n v="0"/>
    <n v="0"/>
    <n v="0"/>
    <n v="-74.196516893116495"/>
    <n v="0"/>
    <n v="0"/>
    <n v="0"/>
    <n v="0"/>
    <n v="0"/>
    <n v="0"/>
    <n v="0"/>
    <n v="0"/>
    <n v="-774.15488391514737"/>
    <m/>
    <n v="0"/>
    <n v="0"/>
    <n v="0"/>
    <n v="0"/>
    <n v="-103.41445031203375"/>
    <n v="-22.940467204874238"/>
    <n v="0"/>
    <n v="0"/>
    <m/>
    <m/>
    <m/>
    <n v="65686.427133790057"/>
    <n v="0"/>
    <n v="0"/>
    <n v="-12646.911060000013"/>
    <n v="0"/>
    <n v="0"/>
    <n v="0"/>
    <n v="-11672.081871248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85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0.2"/>
    <n v="0.2"/>
    <n v="0.2"/>
    <n v="0.2"/>
    <m/>
    <n v="707.13"/>
    <n v="119.97"/>
    <m/>
    <n v="165.42000000000002"/>
    <n v="165.42000000000002"/>
    <n v="145.80599999999998"/>
    <n v="0"/>
    <n v="12.17897591562442"/>
    <n v="0"/>
    <n v="0"/>
    <n v="0"/>
    <n v="21.507842160419401"/>
    <n v="101.8725897327658"/>
    <n v="23.9947685147058"/>
    <n v="0"/>
    <n v="0"/>
    <n v="0"/>
    <n v="0"/>
    <n v="0"/>
    <n v="1.8820451817713022"/>
    <m/>
    <n v="0.4302597502413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544827012862399"/>
    <n v="0"/>
    <n v="0"/>
    <n v="0"/>
    <n v="1062.6600000000001"/>
    <n v="2"/>
    <m/>
    <m/>
    <m/>
    <m/>
    <m/>
    <m/>
    <m/>
    <m/>
    <m/>
    <n v="27.54925121599204"/>
    <m/>
    <m/>
    <m/>
    <m/>
    <m/>
    <m/>
    <m/>
    <m/>
    <m/>
    <m/>
    <m/>
    <m/>
    <n v="145.80599999999998"/>
    <n v="-19.644000000000005"/>
    <m/>
    <m/>
    <m/>
    <m/>
    <n v="-19.614000000000011"/>
    <n v="0"/>
    <n v="31"/>
    <n v="-1.5116647564713617"/>
    <n v="0"/>
    <n v="0"/>
    <n v="0"/>
    <n v="0"/>
    <n v="0"/>
    <n v="0"/>
    <n v="0"/>
    <n v="-0.1150708244437979"/>
    <n v="0"/>
    <n v="0"/>
    <n v="0"/>
    <n v="0"/>
    <n v="0"/>
    <n v="0"/>
    <n v="0"/>
    <n v="0"/>
    <n v="-1.2006310332280989"/>
    <m/>
    <n v="0"/>
    <n v="0"/>
    <n v="0"/>
    <n v="0"/>
    <n v="-0.16038469937814415"/>
    <n v="-3.5578199421322065E-2"/>
    <n v="0"/>
    <n v="0"/>
    <m/>
    <m/>
    <m/>
    <n v="101.8725897327658"/>
    <n v="0"/>
    <n v="0"/>
    <n v="-19.614000000000019"/>
    <n v="0"/>
    <n v="0"/>
    <n v="0"/>
    <n v="-18.102144684701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86"/>
    <s v="Regular"/>
    <s v="Verde"/>
    <s v="A4"/>
    <s v="Industrial"/>
    <s v="Não se aplica"/>
    <s v="Não se aplica"/>
    <s v="Não se aplica"/>
    <s v="Ponta"/>
    <s v="CATIVO"/>
    <x v="6"/>
    <n v="0"/>
    <n v="0"/>
    <n v="117.13500000000001"/>
    <n v="117.13500000000001"/>
    <n v="117.13500000000001"/>
    <n v="117.13500000000001"/>
    <m/>
    <n v="3312.96"/>
    <n v="119.97"/>
    <m/>
    <n v="402116.25555000006"/>
    <n v="402116.25555000006"/>
    <n v="349040.04435000004"/>
    <n v="0"/>
    <n v="6205.6418958634958"/>
    <n v="0"/>
    <n v="0"/>
    <n v="0"/>
    <n v="87574.694790998343"/>
    <n v="292039.90562983078"/>
    <n v="14053.13604985032"/>
    <n v="0"/>
    <n v="0"/>
    <n v="0"/>
    <n v="0"/>
    <n v="0"/>
    <n v="1102.2668118339075"/>
    <m/>
    <n v="98.479141947686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2.952165774331"/>
    <n v="0"/>
    <n v="0"/>
    <n v="0"/>
    <n v="0"/>
    <n v="0"/>
    <m/>
    <m/>
    <m/>
    <m/>
    <m/>
    <m/>
    <m/>
    <m/>
    <m/>
    <n v="15096.088215624652"/>
    <m/>
    <m/>
    <m/>
    <m/>
    <m/>
    <m/>
    <m/>
    <m/>
    <m/>
    <m/>
    <m/>
    <m/>
    <n v="349054.94340000005"/>
    <n v="-53061.34215000004"/>
    <m/>
    <m/>
    <m/>
    <m/>
    <n v="-53076.211199999991"/>
    <n v="0"/>
    <n v="31"/>
    <n v="-1182.3831590153859"/>
    <n v="0"/>
    <n v="0"/>
    <n v="0"/>
    <n v="0"/>
    <n v="0"/>
    <n v="0"/>
    <n v="0"/>
    <n v="-468.5403702918411"/>
    <n v="0"/>
    <n v="0"/>
    <n v="0"/>
    <n v="0"/>
    <n v="0"/>
    <n v="0"/>
    <n v="0"/>
    <n v="0"/>
    <n v="-611.7662349357006"/>
    <m/>
    <n v="0"/>
    <n v="0"/>
    <n v="0"/>
    <n v="0"/>
    <n v="-93.933308808294669"/>
    <n v="-8.1432449795498627"/>
    <n v="0"/>
    <n v="0"/>
    <m/>
    <m/>
    <m/>
    <n v="292039.90562983078"/>
    <n v="0"/>
    <n v="0"/>
    <n v="-53076.21120000002"/>
    <n v="0"/>
    <n v="0"/>
    <n v="0"/>
    <n v="-51893.729601706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87"/>
    <s v="Sistema de Compensação"/>
    <s v="Verde"/>
    <s v="A4"/>
    <s v="Industrial"/>
    <s v="Não se aplica"/>
    <s v="Não se aplica"/>
    <s v="Não se aplica"/>
    <s v="Ponta"/>
    <s v="CATIVO"/>
    <x v="6"/>
    <n v="0"/>
    <n v="0"/>
    <n v="2.831"/>
    <n v="2.831"/>
    <n v="2.831"/>
    <n v="2.831"/>
    <m/>
    <n v="3312.96"/>
    <n v="119.97"/>
    <m/>
    <n v="9718.6248300000007"/>
    <n v="9718.6248300000007"/>
    <n v="8435.8421099999996"/>
    <n v="0"/>
    <n v="149.9822615545273"/>
    <n v="0"/>
    <n v="0"/>
    <n v="0"/>
    <n v="2116.5660217126933"/>
    <n v="7058.223185538488"/>
    <n v="339.64594832566058"/>
    <n v="0"/>
    <n v="0"/>
    <n v="0"/>
    <n v="0"/>
    <n v="0"/>
    <n v="26.640349547972782"/>
    <m/>
    <n v="2.38011227091732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206792003304997"/>
    <n v="0"/>
    <n v="0"/>
    <n v="0"/>
    <n v="0"/>
    <n v="0"/>
    <m/>
    <m/>
    <m/>
    <m/>
    <m/>
    <m/>
    <m/>
    <m/>
    <m/>
    <n v="364.85274032896558"/>
    <m/>
    <m/>
    <m/>
    <m/>
    <m/>
    <m/>
    <m/>
    <m/>
    <m/>
    <m/>
    <m/>
    <m/>
    <n v="8432.8623000000007"/>
    <n v="-1285.7925300000006"/>
    <m/>
    <m/>
    <m/>
    <m/>
    <n v="-1282.7827199999997"/>
    <n v="0"/>
    <n v="31"/>
    <n v="-28.576657046762648"/>
    <n v="0"/>
    <n v="0"/>
    <n v="0"/>
    <n v="0"/>
    <n v="0"/>
    <n v="0"/>
    <n v="0"/>
    <n v="-11.324008949470681"/>
    <n v="0"/>
    <n v="0"/>
    <n v="0"/>
    <n v="0"/>
    <n v="0"/>
    <n v="0"/>
    <n v="0"/>
    <n v="0"/>
    <n v="-14.785591079548965"/>
    <m/>
    <n v="0"/>
    <n v="0"/>
    <n v="0"/>
    <n v="0"/>
    <n v="-2.270245419697634"/>
    <n v="-0.19681159804589266"/>
    <n v="0"/>
    <n v="0"/>
    <m/>
    <m/>
    <m/>
    <n v="7058.223185538488"/>
    <n v="0"/>
    <n v="0"/>
    <n v="-1282.7827200000002"/>
    <n v="0"/>
    <n v="0"/>
    <n v="0"/>
    <n v="-1254.2036838044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88"/>
    <s v="Regular"/>
    <s v="Verde"/>
    <s v="A4"/>
    <s v="Industrial"/>
    <s v="Não se aplica"/>
    <s v="Não se aplica"/>
    <s v="Não se aplica"/>
    <s v="Fora ponta"/>
    <s v="CATIVO"/>
    <x v="6"/>
    <n v="0"/>
    <n v="0"/>
    <n v="2624.4560000000001"/>
    <n v="2624.4560000000001"/>
    <n v="2624.4560000000001"/>
    <n v="2624.4560000000001"/>
    <m/>
    <n v="72.13"/>
    <n v="119.97"/>
    <m/>
    <n v="504157.9976"/>
    <n v="504157.9976"/>
    <n v="488175.06056000001"/>
    <n v="0"/>
    <n v="139039.86090792954"/>
    <n v="0"/>
    <n v="0"/>
    <n v="0"/>
    <n v="0"/>
    <n v="0"/>
    <n v="314866.07098515361"/>
    <n v="0"/>
    <n v="0"/>
    <n v="0"/>
    <n v="0"/>
    <n v="0"/>
    <n v="24696.723847853922"/>
    <m/>
    <n v="2206.4641222474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67.755744904916"/>
    <n v="0"/>
    <n v="0"/>
    <n v="0"/>
    <n v="0"/>
    <n v="0"/>
    <m/>
    <m/>
    <m/>
    <m/>
    <m/>
    <m/>
    <m/>
    <m/>
    <m/>
    <n v="338233.82673005853"/>
    <m/>
    <m/>
    <m/>
    <m/>
    <m/>
    <m/>
    <m/>
    <m/>
    <m/>
    <m/>
    <m/>
    <m/>
    <n v="488175.80460000003"/>
    <n v="-15982.222999999998"/>
    <m/>
    <m/>
    <m/>
    <m/>
    <n v="-15982.937039999972"/>
    <n v="0"/>
    <n v="31"/>
    <n v="-15993.929994640639"/>
    <n v="0"/>
    <n v="0"/>
    <n v="0"/>
    <n v="0"/>
    <n v="0"/>
    <n v="0"/>
    <n v="0"/>
    <n v="0"/>
    <n v="0"/>
    <n v="0"/>
    <n v="0"/>
    <n v="0"/>
    <n v="0"/>
    <n v="0"/>
    <n v="0"/>
    <n v="0"/>
    <n v="-13706.864437396231"/>
    <m/>
    <n v="0"/>
    <n v="0"/>
    <n v="0"/>
    <n v="0"/>
    <n v="-2104.6129329558316"/>
    <n v="-182.45262428863725"/>
    <n v="0"/>
    <n v="0"/>
    <m/>
    <m/>
    <m/>
    <n v="0"/>
    <n v="0"/>
    <n v="0"/>
    <n v="-15982.9370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89"/>
    <s v="Sistema de Compensação"/>
    <s v="Verde"/>
    <s v="A4"/>
    <s v="Industrial"/>
    <s v="Não se aplica"/>
    <s v="Não se aplica"/>
    <s v="Não se aplica"/>
    <s v="Fora ponta"/>
    <s v="CATIVO"/>
    <x v="6"/>
    <n v="0"/>
    <n v="0"/>
    <n v="14.577999999999999"/>
    <n v="14.577999999999999"/>
    <n v="14.577999999999999"/>
    <n v="14.577999999999999"/>
    <m/>
    <n v="72.13"/>
    <n v="119.97"/>
    <m/>
    <n v="2800.4337999999998"/>
    <n v="2800.4337999999998"/>
    <n v="2711.6537800000001"/>
    <n v="0"/>
    <n v="772.32123240618125"/>
    <n v="0"/>
    <n v="0"/>
    <n v="0"/>
    <n v="0"/>
    <n v="0"/>
    <n v="1748.9786770369058"/>
    <n v="0"/>
    <n v="0"/>
    <n v="0"/>
    <n v="0"/>
    <n v="0"/>
    <n v="137.1822732993102"/>
    <m/>
    <n v="12.256190987436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.80028746880262"/>
    <n v="0"/>
    <n v="0"/>
    <n v="0"/>
    <n v="0"/>
    <n v="0"/>
    <m/>
    <m/>
    <m/>
    <m/>
    <m/>
    <m/>
    <m/>
    <m/>
    <m/>
    <n v="1878.7789645057085"/>
    <m/>
    <m/>
    <m/>
    <m/>
    <m/>
    <m/>
    <m/>
    <m/>
    <m/>
    <m/>
    <m/>
    <m/>
    <n v="2712.0257999999999"/>
    <n v="-88.438000000000102"/>
    <m/>
    <m/>
    <m/>
    <m/>
    <n v="-88.780019999999837"/>
    <n v="0"/>
    <n v="31"/>
    <n v="-88.841082289766746"/>
    <n v="0"/>
    <n v="0"/>
    <n v="0"/>
    <n v="0"/>
    <n v="0"/>
    <n v="0"/>
    <n v="0"/>
    <n v="0"/>
    <n v="0"/>
    <n v="0"/>
    <n v="0"/>
    <n v="0"/>
    <n v="0"/>
    <n v="0"/>
    <n v="0"/>
    <n v="0"/>
    <n v="-76.137176530436136"/>
    <m/>
    <n v="0"/>
    <n v="0"/>
    <n v="0"/>
    <n v="0"/>
    <n v="-11.690440737672915"/>
    <n v="-1.0134650216577263"/>
    <n v="0"/>
    <n v="0"/>
    <m/>
    <m/>
    <m/>
    <n v="0"/>
    <n v="0"/>
    <n v="0"/>
    <n v="-88.78001999999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90"/>
    <s v="Regular"/>
    <s v="Verde"/>
    <s v="A4"/>
    <s v="Industrial"/>
    <s v="Não se aplica"/>
    <s v="Não se aplica"/>
    <s v="Não se aplica"/>
    <s v="Não se aplica"/>
    <s v="CATIVO"/>
    <x v="6"/>
    <n v="10545"/>
    <n v="10545"/>
    <n v="0"/>
    <n v="0"/>
    <n v="0"/>
    <n v="0"/>
    <n v="46.29"/>
    <m/>
    <m/>
    <n v="488128.05"/>
    <m/>
    <n v="488128.05"/>
    <n v="433926.75"/>
    <n v="0"/>
    <n v="0"/>
    <n v="0"/>
    <n v="0"/>
    <n v="0"/>
    <n v="188892.71547872518"/>
    <n v="299197.801522416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45691.17000000004"/>
    <n v="26"/>
    <m/>
    <m/>
    <m/>
    <m/>
    <m/>
    <m/>
    <m/>
    <m/>
    <m/>
    <n v="0"/>
    <m/>
    <m/>
    <m/>
    <m/>
    <m/>
    <m/>
    <m/>
    <m/>
    <m/>
    <m/>
    <m/>
    <m/>
    <n v="433926.75"/>
    <n v="-54201.330000000016"/>
    <m/>
    <m/>
    <m/>
    <m/>
    <n v="-54201.3"/>
    <n v="0"/>
    <n v="31"/>
    <n v="-1010.6100063160702"/>
    <n v="0"/>
    <n v="0"/>
    <n v="0"/>
    <n v="0"/>
    <m/>
    <m/>
    <m/>
    <n v="-1010.61000631607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9197.80152241635"/>
    <m/>
    <n v="0"/>
    <n v="0"/>
    <n v="-54201.299999999988"/>
    <m/>
    <n v="0"/>
    <m/>
    <n v="-53165.644524313335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191"/>
    <s v="Sistema de Compensação"/>
    <s v="Verde"/>
    <s v="A4"/>
    <s v="Industrial"/>
    <s v="Não se aplica"/>
    <s v="Não se aplica"/>
    <s v="Não se aplica"/>
    <s v="Não se aplica"/>
    <s v="CATIVO"/>
    <x v="6"/>
    <n v="100"/>
    <n v="100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539.51"/>
    <n v="1"/>
    <m/>
    <m/>
    <m/>
    <m/>
    <m/>
    <m/>
    <m/>
    <m/>
    <m/>
    <n v="0"/>
    <m/>
    <m/>
    <m/>
    <m/>
    <m/>
    <m/>
    <m/>
    <m/>
    <m/>
    <m/>
    <m/>
    <m/>
    <n v="4115"/>
    <n v="-514.03000000000065"/>
    <m/>
    <m/>
    <m/>
    <m/>
    <n v="-514"/>
    <n v="0"/>
    <n v="31"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192"/>
    <s v="Regular"/>
    <s v="Branca"/>
    <s v="B3"/>
    <s v="Industrial"/>
    <s v="Não se aplica"/>
    <s v="Não se aplica"/>
    <s v="Não se aplica"/>
    <s v="Ponta"/>
    <s v="CATIVO"/>
    <x v="6"/>
    <n v="0"/>
    <n v="0"/>
    <n v="7.2999999999999995E-2"/>
    <n v="7.2999999999999995E-2"/>
    <n v="7.2999999999999995E-2"/>
    <n v="7.2999999999999995E-2"/>
    <m/>
    <n v="2187.66"/>
    <n v="119.97"/>
    <m/>
    <n v="168.45698999999999"/>
    <n v="168.45698999999999"/>
    <n v="145.33935"/>
    <n v="0"/>
    <n v="4.4453262092029133"/>
    <n v="0"/>
    <n v="0"/>
    <n v="0"/>
    <n v="26.688554339708613"/>
    <n v="126.4238700292169"/>
    <n v="8.7580905078676157"/>
    <n v="0"/>
    <n v="0"/>
    <n v="0"/>
    <n v="0"/>
    <n v="0"/>
    <n v="0.68694649134652519"/>
    <m/>
    <n v="0.157044808838100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973861859694775"/>
    <n v="0"/>
    <n v="0"/>
    <n v="0"/>
    <n v="0"/>
    <n v="0"/>
    <m/>
    <m/>
    <m/>
    <m/>
    <m/>
    <m/>
    <m/>
    <m/>
    <m/>
    <n v="10.055476693837093"/>
    <m/>
    <m/>
    <m/>
    <m/>
    <m/>
    <m/>
    <m/>
    <m/>
    <m/>
    <m/>
    <m/>
    <m/>
    <n v="139.3665"/>
    <n v="-29.120489999999961"/>
    <m/>
    <m/>
    <m/>
    <m/>
    <n v="-23.117639999999987"/>
    <n v="0"/>
    <n v="31"/>
    <n v="-0.65254535171290939"/>
    <n v="0"/>
    <n v="0"/>
    <n v="0"/>
    <n v="0"/>
    <n v="0"/>
    <n v="0"/>
    <n v="0"/>
    <n v="-0.14278856652284944"/>
    <n v="0"/>
    <n v="0"/>
    <n v="0"/>
    <n v="0"/>
    <n v="0"/>
    <n v="0"/>
    <n v="0"/>
    <n v="0"/>
    <n v="-0.43823032712825682"/>
    <m/>
    <n v="0"/>
    <n v="0"/>
    <n v="0"/>
    <n v="0"/>
    <n v="-5.8540415273022561E-2"/>
    <n v="-1.298604278878257E-2"/>
    <n v="0"/>
    <n v="0"/>
    <m/>
    <m/>
    <m/>
    <n v="126.4238700292169"/>
    <n v="0"/>
    <n v="0"/>
    <n v="-23.117639999999994"/>
    <n v="0"/>
    <n v="0"/>
    <n v="0"/>
    <n v="-22.464759096358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93"/>
    <s v="Regular"/>
    <s v="Branca"/>
    <s v="B3"/>
    <s v="Industrial"/>
    <s v="Não se aplica"/>
    <s v="Não se aplica"/>
    <s v="Não se aplica"/>
    <s v="Fora ponta"/>
    <s v="CATIVO"/>
    <x v="6"/>
    <n v="0"/>
    <n v="0"/>
    <n v="35.738"/>
    <n v="35.738"/>
    <n v="35.738"/>
    <n v="35.738"/>
    <m/>
    <n v="509.72"/>
    <n v="119.97"/>
    <m/>
    <n v="22503.861220000003"/>
    <n v="22503.861220000003"/>
    <n v="20040.440880000002"/>
    <n v="0"/>
    <n v="2176.2612063629276"/>
    <n v="0"/>
    <n v="0"/>
    <n v="0"/>
    <n v="2613.1385068287814"/>
    <n v="12378.465681641557"/>
    <n v="4287.625185892779"/>
    <n v="0"/>
    <n v="0"/>
    <n v="0"/>
    <n v="0"/>
    <n v="0"/>
    <n v="336.302653530714"/>
    <m/>
    <n v="76.883114770630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5.15051389283815"/>
    <n v="0"/>
    <n v="0"/>
    <n v="0"/>
    <n v="0"/>
    <n v="0"/>
    <m/>
    <m/>
    <m/>
    <m/>
    <m/>
    <m/>
    <m/>
    <m/>
    <m/>
    <n v="4922.7756997856168"/>
    <m/>
    <m/>
    <m/>
    <m/>
    <m/>
    <m/>
    <m/>
    <m/>
    <m/>
    <m/>
    <m/>
    <m/>
    <n v="20041.562400000003"/>
    <n v="-2462.3288199999952"/>
    <m/>
    <m/>
    <m/>
    <m/>
    <n v="-2463.4203400000001"/>
    <n v="0"/>
    <n v="31"/>
    <n v="-263.53813078357416"/>
    <n v="0"/>
    <n v="0"/>
    <n v="0"/>
    <n v="0"/>
    <n v="0"/>
    <n v="0"/>
    <n v="0"/>
    <n v="-13.980761069568416"/>
    <n v="0"/>
    <n v="0"/>
    <n v="0"/>
    <n v="0"/>
    <n v="0"/>
    <n v="0"/>
    <n v="0"/>
    <n v="0"/>
    <n v="-214.54075932752926"/>
    <m/>
    <n v="0"/>
    <n v="0"/>
    <n v="0"/>
    <n v="0"/>
    <n v="-28.659141931880583"/>
    <n v="-6.3574684545960451"/>
    <n v="0"/>
    <n v="0"/>
    <m/>
    <m/>
    <m/>
    <n v="12378.465681641557"/>
    <n v="0"/>
    <n v="0"/>
    <n v="-2463.4203400000006"/>
    <n v="0"/>
    <n v="0"/>
    <n v="0"/>
    <n v="-2199.578682857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94"/>
    <s v="Regular"/>
    <s v="Branca"/>
    <s v="B3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511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195"/>
    <s v="Sistema de Compensação"/>
    <s v="Branca"/>
    <s v="B3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07.5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196"/>
    <s v="Regular"/>
    <s v="Branca"/>
    <s v="B3"/>
    <s v="Industrial"/>
    <s v="Não se aplica"/>
    <s v="Não se aplica"/>
    <s v="Não se aplica"/>
    <s v="Intermediário"/>
    <s v="CATIVO"/>
    <x v="6"/>
    <n v="0"/>
    <n v="0"/>
    <n v="0.185"/>
    <n v="0.185"/>
    <n v="0.185"/>
    <n v="0.185"/>
    <m/>
    <n v="1348.63"/>
    <n v="119.97"/>
    <m/>
    <n v="271.69100000000003"/>
    <n v="271.69100000000003"/>
    <n v="236.02299999999997"/>
    <n v="0"/>
    <n v="11.265552721952588"/>
    <n v="0"/>
    <n v="0"/>
    <n v="0"/>
    <n v="40.569916197963273"/>
    <n v="192.23353827461852"/>
    <n v="22.195160876102864"/>
    <n v="0"/>
    <n v="0"/>
    <n v="0"/>
    <n v="0"/>
    <n v="0"/>
    <n v="1.7408917931384544"/>
    <m/>
    <n v="0.397990268973267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878964986897721"/>
    <n v="0"/>
    <n v="0"/>
    <n v="0"/>
    <n v="0"/>
    <n v="0"/>
    <m/>
    <m/>
    <m/>
    <m/>
    <m/>
    <m/>
    <m/>
    <m/>
    <m/>
    <n v="25.483057374792637"/>
    <m/>
    <m/>
    <m/>
    <m/>
    <m/>
    <m/>
    <m/>
    <m/>
    <m/>
    <m/>
    <m/>
    <m/>
    <n v="242.40199999999999"/>
    <n v="-29.319000000000017"/>
    <m/>
    <m/>
    <m/>
    <m/>
    <n v="-35.668000000000035"/>
    <n v="0"/>
    <n v="31"/>
    <n v="-1.5089057366048166"/>
    <n v="0"/>
    <n v="0"/>
    <n v="0"/>
    <n v="0"/>
    <n v="0"/>
    <n v="0"/>
    <n v="0"/>
    <n v="-0.21705634947930008"/>
    <n v="0"/>
    <n v="0"/>
    <n v="0"/>
    <n v="0"/>
    <n v="0"/>
    <n v="0"/>
    <n v="0"/>
    <n v="0"/>
    <n v="-1.1105837057359924"/>
    <m/>
    <n v="0"/>
    <n v="0"/>
    <n v="0"/>
    <n v="0"/>
    <n v="-0.14835584692478343"/>
    <n v="-3.2909834464722898E-2"/>
    <n v="0"/>
    <n v="0"/>
    <m/>
    <m/>
    <m/>
    <n v="192.23353827461852"/>
    <n v="0"/>
    <n v="0"/>
    <n v="-35.668000000000035"/>
    <n v="0"/>
    <n v="0"/>
    <n v="0"/>
    <n v="-34.158740169732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97"/>
    <s v="Regular"/>
    <s v="Convencional"/>
    <s v="B3"/>
    <s v="Comercial"/>
    <s v="Não se aplica"/>
    <s v="Não se aplica"/>
    <s v="Não se aplica"/>
    <s v="Não se aplica"/>
    <s v="CATIVO"/>
    <x v="6"/>
    <n v="0"/>
    <n v="0"/>
    <n v="94.872"/>
    <n v="94.872"/>
    <n v="94.872"/>
    <n v="94.872"/>
    <m/>
    <n v="707.13"/>
    <n v="119.97"/>
    <m/>
    <n v="78468.631200000003"/>
    <n v="78468.631200000003"/>
    <n v="69164.534159999996"/>
    <n v="0"/>
    <n v="5777.2190153355996"/>
    <n v="0"/>
    <n v="0"/>
    <n v="0"/>
    <n v="10202.460007216547"/>
    <n v="48324.281665634786"/>
    <n v="11382.158392635843"/>
    <n v="0"/>
    <n v="0"/>
    <n v="0"/>
    <n v="0"/>
    <n v="0"/>
    <n v="892.7669524250349"/>
    <m/>
    <n v="204.0980151244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86.1044141821408"/>
    <n v="0"/>
    <n v="0"/>
    <n v="0"/>
    <n v="26003.439999999999"/>
    <n v="266"/>
    <m/>
    <m/>
    <m/>
    <m/>
    <m/>
    <m/>
    <m/>
    <m/>
    <m/>
    <n v="13068.262806817984"/>
    <m/>
    <m/>
    <m/>
    <m/>
    <m/>
    <m/>
    <m/>
    <m/>
    <m/>
    <m/>
    <m/>
    <m/>
    <n v="69163.076100000006"/>
    <n v="-9305.585099999982"/>
    <m/>
    <m/>
    <m/>
    <m/>
    <n v="-9304.0970400000042"/>
    <n v="0"/>
    <n v="31"/>
    <n v="-717.07329387975915"/>
    <n v="0"/>
    <n v="0"/>
    <n v="0"/>
    <n v="0"/>
    <n v="0"/>
    <n v="0"/>
    <n v="0"/>
    <n v="-54.584996283159853"/>
    <n v="0"/>
    <n v="0"/>
    <n v="0"/>
    <n v="0"/>
    <n v="0"/>
    <n v="0"/>
    <n v="0"/>
    <n v="0"/>
    <n v="-569.53133692208121"/>
    <m/>
    <n v="0"/>
    <n v="0"/>
    <n v="0"/>
    <n v="0"/>
    <n v="-76.080085997016567"/>
    <n v="-16.876874677498336"/>
    <n v="0"/>
    <n v="0"/>
    <m/>
    <m/>
    <m/>
    <n v="48324.281665634786"/>
    <n v="0"/>
    <n v="0"/>
    <n v="-9304.0970400000078"/>
    <n v="0"/>
    <n v="0"/>
    <n v="0"/>
    <n v="-8586.9333526350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98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19.905000000000001"/>
    <n v="19.905000000000001"/>
    <n v="19.905000000000001"/>
    <n v="19.905000000000001"/>
    <m/>
    <n v="707.13"/>
    <n v="119.97"/>
    <m/>
    <n v="16463.425500000001"/>
    <n v="16463.425500000001"/>
    <n v="14511.34215"/>
    <n v="0"/>
    <n v="1212.1125780025204"/>
    <n v="0"/>
    <n v="0"/>
    <n v="0"/>
    <n v="2140.567991015741"/>
    <n v="10138.869493153517"/>
    <n v="2388.0793364260949"/>
    <n v="0"/>
    <n v="0"/>
    <n v="0"/>
    <n v="0"/>
    <n v="0"/>
    <n v="187.31054671578886"/>
    <m/>
    <n v="42.821601642772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3.75989084551304"/>
    <n v="0"/>
    <n v="0"/>
    <n v="0"/>
    <n v="8086.9"/>
    <n v="8"/>
    <m/>
    <m/>
    <m/>
    <m/>
    <m/>
    <m/>
    <m/>
    <m/>
    <m/>
    <n v="2741.8392272716078"/>
    <m/>
    <m/>
    <m/>
    <m/>
    <m/>
    <m/>
    <m/>
    <m/>
    <m/>
    <m/>
    <m/>
    <m/>
    <n v="14514.987299999999"/>
    <n v="-1948.4682000000012"/>
    <m/>
    <m/>
    <m/>
    <m/>
    <n v="-1952.083350000001"/>
    <n v="0"/>
    <n v="31"/>
    <n v="-150.44843488781407"/>
    <n v="0"/>
    <n v="0"/>
    <n v="0"/>
    <n v="0"/>
    <n v="0"/>
    <n v="0"/>
    <n v="0"/>
    <n v="-11.452423802769317"/>
    <n v="0"/>
    <n v="0"/>
    <n v="0"/>
    <n v="0"/>
    <n v="0"/>
    <n v="0"/>
    <n v="0"/>
    <n v="0"/>
    <n v="-119.49280358202668"/>
    <m/>
    <n v="0"/>
    <n v="0"/>
    <n v="0"/>
    <n v="0"/>
    <n v="-15.962287205609812"/>
    <n v="-3.5409202974070766"/>
    <n v="0"/>
    <n v="0"/>
    <m/>
    <m/>
    <m/>
    <n v="10138.869493153517"/>
    <n v="0"/>
    <n v="0"/>
    <n v="-1952.0833500000008"/>
    <n v="0"/>
    <n v="0"/>
    <n v="0"/>
    <n v="-1801.615949744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199"/>
    <s v="Regular"/>
    <s v="Convencional"/>
    <s v="B2"/>
    <s v="Rural"/>
    <s v="Não se aplica"/>
    <s v="Não se aplica"/>
    <s v="Não se aplica"/>
    <s v="Não se aplica"/>
    <s v="CATIVO"/>
    <x v="6"/>
    <n v="0"/>
    <n v="0"/>
    <n v="280.87599999999998"/>
    <n v="280.87599999999998"/>
    <n v="280.87599999999998"/>
    <n v="280.87599999999998"/>
    <m/>
    <n v="707.13"/>
    <n v="119.97"/>
    <m/>
    <n v="232312.53959999996"/>
    <n v="232312.53959999996"/>
    <n v="204767.03027999995"/>
    <n v="0"/>
    <n v="17103.910196384622"/>
    <n v="0"/>
    <n v="0"/>
    <n v="0"/>
    <n v="30205.183373249794"/>
    <n v="143067.82756890162"/>
    <n v="33697.773006682532"/>
    <n v="0"/>
    <n v="0"/>
    <n v="0"/>
    <n v="0"/>
    <n v="0"/>
    <n v="2643.1066123759811"/>
    <m/>
    <n v="604.248188043975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91.8444160323688"/>
    <n v="0"/>
    <n v="0"/>
    <n v="0"/>
    <n v="45996.43"/>
    <n v="704"/>
    <m/>
    <m/>
    <m/>
    <m/>
    <m/>
    <n v="24571.032479999973"/>
    <m/>
    <m/>
    <m/>
    <n v="38689.617422714902"/>
    <m/>
    <m/>
    <m/>
    <m/>
    <m/>
    <m/>
    <m/>
    <m/>
    <m/>
    <m/>
    <m/>
    <m/>
    <n v="180198.56399999998"/>
    <n v="-24239.871360000019"/>
    <m/>
    <m/>
    <m/>
    <m/>
    <n v="-27545.509320000012"/>
    <n v="0"/>
    <n v="31"/>
    <n v="-2122.9517506932461"/>
    <n v="0"/>
    <n v="0"/>
    <n v="0"/>
    <n v="0"/>
    <n v="0"/>
    <n v="0"/>
    <n v="0"/>
    <n v="-161.60316443238116"/>
    <n v="0"/>
    <n v="0"/>
    <n v="0"/>
    <n v="0"/>
    <n v="0"/>
    <n v="0"/>
    <n v="0"/>
    <n v="0"/>
    <n v="-1686.1422104448793"/>
    <m/>
    <n v="0"/>
    <n v="0"/>
    <n v="0"/>
    <n v="0"/>
    <n v="-225.24106411267803"/>
    <n v="-49.965311703316274"/>
    <n v="0"/>
    <n v="0"/>
    <m/>
    <m/>
    <m/>
    <n v="143067.82756890162"/>
    <n v="0"/>
    <n v="0"/>
    <n v="-27545.509320000012"/>
    <n v="0"/>
    <n v="0"/>
    <n v="0"/>
    <n v="-25422.28995230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00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2.2639999999999998"/>
    <n v="-2.2639999999999998"/>
    <n v="-2.2639999999999998"/>
    <n v="-2.2639999999999998"/>
    <m/>
    <n v="707.13"/>
    <n v="119.97"/>
    <m/>
    <n v="-1872.5544"/>
    <n v="-1872.5544"/>
    <n v="-1650.5239199999996"/>
    <n v="0"/>
    <n v="-137.86600736486844"/>
    <n v="0"/>
    <n v="0"/>
    <n v="0"/>
    <n v="-243.46877325594758"/>
    <n v="-1153.1977157749088"/>
    <n v="-271.62077958646961"/>
    <n v="0"/>
    <n v="0"/>
    <n v="0"/>
    <n v="0"/>
    <n v="0"/>
    <n v="-21.30475145765114"/>
    <m/>
    <n v="-4.87054037273230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0.23674417856023"/>
    <n v="0"/>
    <n v="0"/>
    <n v="0"/>
    <n v="-502.57"/>
    <n v="0"/>
    <m/>
    <m/>
    <m/>
    <m/>
    <m/>
    <n v="-198.0547199999998"/>
    <m/>
    <m/>
    <m/>
    <n v="-311.85752376502984"/>
    <m/>
    <m/>
    <m/>
    <m/>
    <m/>
    <m/>
    <m/>
    <m/>
    <m/>
    <m/>
    <m/>
    <m/>
    <n v="-1449.9029999999998"/>
    <n v="197.94204000000013"/>
    <m/>
    <m/>
    <m/>
    <m/>
    <n v="222.0304800000001"/>
    <n v="0"/>
    <n v="31"/>
    <n v="17.112045043255875"/>
    <n v="0"/>
    <n v="0"/>
    <n v="0"/>
    <n v="0"/>
    <n v="0"/>
    <n v="0"/>
    <n v="0"/>
    <n v="1.3026017327038062"/>
    <n v="0"/>
    <n v="0"/>
    <n v="0"/>
    <n v="0"/>
    <n v="0"/>
    <n v="0"/>
    <n v="0"/>
    <n v="0"/>
    <n v="13.591143296142107"/>
    <m/>
    <n v="0"/>
    <n v="0"/>
    <n v="0"/>
    <n v="0"/>
    <n v="1.8155547969605941"/>
    <n v="0.40274521744936553"/>
    <n v="0"/>
    <n v="0"/>
    <m/>
    <m/>
    <m/>
    <n v="-1153.1977157749088"/>
    <n v="0"/>
    <n v="0"/>
    <n v="222.03048000000013"/>
    <n v="0"/>
    <n v="0"/>
    <n v="0"/>
    <n v="204.9162778308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01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28.015000000000001"/>
    <n v="28.015000000000001"/>
    <n v="28.015000000000001"/>
    <n v="28.015000000000001"/>
    <m/>
    <n v="707.13"/>
    <n v="119.97"/>
    <m/>
    <n v="23171.2065"/>
    <n v="23171.2065"/>
    <n v="20423.775449999997"/>
    <n v="0"/>
    <n v="1705.9700513810908"/>
    <n v="0"/>
    <n v="0"/>
    <n v="0"/>
    <n v="3012.7109906207475"/>
    <n v="14269.80300681717"/>
    <n v="3361.0671996974152"/>
    <n v="0"/>
    <n v="0"/>
    <n v="0"/>
    <n v="0"/>
    <n v="0"/>
    <n v="263.62747883661513"/>
    <m/>
    <n v="60.268634515059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7.89416438267006"/>
    <n v="0"/>
    <n v="0"/>
    <n v="0"/>
    <n v="8497.75"/>
    <n v="13"/>
    <m/>
    <m/>
    <m/>
    <m/>
    <m/>
    <n v="2450.7521999999976"/>
    <m/>
    <m/>
    <m/>
    <n v="3858.9613640800853"/>
    <m/>
    <m/>
    <m/>
    <m/>
    <m/>
    <m/>
    <m/>
    <m/>
    <m/>
    <m/>
    <m/>
    <m/>
    <n v="17976.231"/>
    <n v="-2414.7968999999975"/>
    <m/>
    <m/>
    <m/>
    <m/>
    <n v="-2747.4310500000015"/>
    <n v="0"/>
    <n v="31"/>
    <n v="-211.74644076272671"/>
    <n v="0"/>
    <n v="0"/>
    <n v="0"/>
    <n v="0"/>
    <n v="0"/>
    <n v="0"/>
    <n v="0"/>
    <n v="-16.11854573396522"/>
    <n v="0"/>
    <n v="0"/>
    <n v="0"/>
    <n v="0"/>
    <n v="0"/>
    <n v="0"/>
    <n v="0"/>
    <n v="0"/>
    <n v="-168.17839197942635"/>
    <m/>
    <n v="0"/>
    <n v="0"/>
    <n v="0"/>
    <n v="0"/>
    <n v="-22.46588676539352"/>
    <n v="-4.9836162839416858"/>
    <n v="0"/>
    <n v="0"/>
    <m/>
    <m/>
    <m/>
    <n v="14269.80300681717"/>
    <n v="0"/>
    <n v="0"/>
    <n v="-2747.4310500000029"/>
    <n v="0"/>
    <n v="0"/>
    <n v="0"/>
    <n v="-2535.657916709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02"/>
    <s v="Sistema de Compensação"/>
    <s v="Verde"/>
    <s v="A4"/>
    <s v="Rural"/>
    <s v="Não se aplica"/>
    <s v="Não se aplica"/>
    <s v="Não se aplica"/>
    <s v="Ponta"/>
    <s v="CATIVO"/>
    <x v="6"/>
    <n v="0"/>
    <n v="0"/>
    <n v="0.246"/>
    <n v="0.23615999999999998"/>
    <n v="0.246"/>
    <n v="0.23615999999999998"/>
    <m/>
    <n v="3312.96"/>
    <n v="119.97"/>
    <m/>
    <n v="844.50077999999996"/>
    <n v="844.50077999999996"/>
    <n v="733.03326000000004"/>
    <n v="0"/>
    <n v="13.032722127309684"/>
    <n v="0"/>
    <n v="0"/>
    <n v="0"/>
    <n v="183.91919510467062"/>
    <n v="613.32493947102375"/>
    <n v="29.513565273088133"/>
    <n v="0"/>
    <n v="0"/>
    <n v="0"/>
    <n v="0"/>
    <n v="0"/>
    <n v="2.3149155735787015"/>
    <m/>
    <n v="0.206820070168018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90346461608276"/>
    <n v="0"/>
    <n v="0"/>
    <n v="0"/>
    <n v="0"/>
    <n v="0"/>
    <m/>
    <m/>
    <m/>
    <m/>
    <m/>
    <n v="29.321330400000047"/>
    <m/>
    <m/>
    <m/>
    <n v="31.703911734696408"/>
    <m/>
    <m/>
    <m/>
    <m/>
    <m/>
    <m/>
    <m/>
    <m/>
    <m/>
    <m/>
    <m/>
    <m/>
    <n v="715.1543999999999"/>
    <n v="-95.596348799999987"/>
    <m/>
    <m/>
    <m/>
    <m/>
    <n v="-111.46751999999996"/>
    <n v="0"/>
    <n v="31"/>
    <n v="-2.4831711880974012"/>
    <n v="0"/>
    <n v="0"/>
    <n v="0"/>
    <n v="0"/>
    <n v="0"/>
    <n v="0"/>
    <n v="0"/>
    <n v="-0.98400077766504523"/>
    <n v="0"/>
    <n v="0"/>
    <n v="0"/>
    <n v="0"/>
    <n v="0"/>
    <n v="0"/>
    <n v="0"/>
    <n v="0"/>
    <n v="-1.2847952686573798"/>
    <m/>
    <n v="0"/>
    <n v="0"/>
    <n v="0"/>
    <n v="0"/>
    <n v="-0.19727318023511708"/>
    <n v="-1.7101961539840921E-2"/>
    <n v="0"/>
    <n v="0"/>
    <m/>
    <m/>
    <m/>
    <n v="613.32493947102375"/>
    <n v="0"/>
    <n v="0"/>
    <n v="-111.46751999999992"/>
    <n v="0"/>
    <n v="0"/>
    <n v="0"/>
    <n v="-108.98414207555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03"/>
    <s v="Sistema de Compensação"/>
    <s v="Verde"/>
    <s v="A4"/>
    <s v="Rural"/>
    <s v="Não se aplica"/>
    <s v="Não se aplica"/>
    <s v="Não se aplica"/>
    <s v="Fora ponta"/>
    <s v="CATIVO"/>
    <x v="6"/>
    <n v="0"/>
    <n v="0"/>
    <n v="1.331"/>
    <n v="1.27776"/>
    <n v="1.331"/>
    <n v="1.27776"/>
    <m/>
    <n v="72.13"/>
    <n v="119.97"/>
    <m/>
    <n v="255.68509999999998"/>
    <n v="255.68509999999998"/>
    <n v="247.57931000000002"/>
    <n v="0"/>
    <n v="70.514443705078008"/>
    <n v="0"/>
    <n v="0"/>
    <n v="0"/>
    <n v="0"/>
    <n v="0"/>
    <n v="159.68518446536709"/>
    <n v="0"/>
    <n v="0"/>
    <n v="0"/>
    <n v="0"/>
    <n v="0"/>
    <n v="12.525010684688015"/>
    <m/>
    <n v="1.1190142820879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51020895937459"/>
    <n v="0"/>
    <n v="0"/>
    <n v="0"/>
    <n v="0"/>
    <n v="0"/>
    <m/>
    <m/>
    <m/>
    <m/>
    <m/>
    <n v="9.9031723999999919"/>
    <m/>
    <m/>
    <m/>
    <n v="171.53620536130455"/>
    <m/>
    <m/>
    <m/>
    <m/>
    <m/>
    <m/>
    <m/>
    <m/>
    <m/>
    <m/>
    <m/>
    <m/>
    <n v="238.09280000000001"/>
    <n v="-7.3948959999999602"/>
    <m/>
    <m/>
    <m/>
    <m/>
    <n v="-8.1057899999999847"/>
    <n v="0"/>
    <n v="31"/>
    <n v="-8.1113651068513946"/>
    <n v="0"/>
    <n v="0"/>
    <n v="0"/>
    <n v="0"/>
    <n v="0"/>
    <n v="0"/>
    <n v="0"/>
    <n v="0"/>
    <n v="0"/>
    <n v="0"/>
    <n v="0"/>
    <n v="0"/>
    <n v="0"/>
    <n v="0"/>
    <n v="0"/>
    <n v="0"/>
    <n v="-6.9514735877356628"/>
    <m/>
    <n v="0"/>
    <n v="0"/>
    <n v="0"/>
    <n v="0"/>
    <n v="-1.06736017436155"/>
    <n v="-9.2531344754180012E-2"/>
    <n v="0"/>
    <n v="0"/>
    <m/>
    <m/>
    <m/>
    <n v="0"/>
    <n v="0"/>
    <n v="0"/>
    <n v="-8.1057899999999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04"/>
    <s v="Sistema de Compensação"/>
    <s v="Verde"/>
    <s v="A4"/>
    <s v="Rural"/>
    <s v="Não se aplica"/>
    <s v="Não se aplica"/>
    <s v="Não se aplica"/>
    <s v="Não se aplica"/>
    <s v="CATIVO"/>
    <x v="6"/>
    <n v="32"/>
    <n v="30.72"/>
    <n v="0"/>
    <n v="0"/>
    <n v="0"/>
    <n v="0"/>
    <n v="46.29"/>
    <m/>
    <m/>
    <n v="1481.28"/>
    <m/>
    <n v="1481.28"/>
    <n v="1316.8"/>
    <n v="0"/>
    <n v="0"/>
    <n v="0"/>
    <n v="0"/>
    <n v="0"/>
    <n v="573.21639595250883"/>
    <n v="907.949705900172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62.58"/>
    <n v="1"/>
    <m/>
    <m/>
    <m/>
    <m/>
    <m/>
    <n v="52.672000000000047"/>
    <m/>
    <m/>
    <m/>
    <n v="0"/>
    <m/>
    <m/>
    <m/>
    <m/>
    <m/>
    <m/>
    <m/>
    <m/>
    <m/>
    <m/>
    <m/>
    <m/>
    <n v="1264.1279999999999"/>
    <n v="-157.93079999999986"/>
    <m/>
    <m/>
    <m/>
    <m/>
    <n v="-164.48000000000002"/>
    <n v="0"/>
    <n v="31"/>
    <n v="-3.0668108299776122"/>
    <n v="0"/>
    <n v="0"/>
    <n v="0"/>
    <n v="0"/>
    <m/>
    <m/>
    <m/>
    <n v="-3.06681082997761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07.94970590017283"/>
    <m/>
    <n v="0"/>
    <n v="0"/>
    <n v="-164.48000000000002"/>
    <m/>
    <n v="0"/>
    <m/>
    <n v="-161.33718584903045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205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41.313000000000002"/>
    <n v="41.313000000000002"/>
    <n v="41.313000000000002"/>
    <n v="41.313000000000002"/>
    <m/>
    <n v="707.13"/>
    <n v="119.97"/>
    <m/>
    <n v="34169.982300000003"/>
    <n v="34169.982300000003"/>
    <n v="30118.416389999999"/>
    <n v="0"/>
    <n v="2515.7501600109586"/>
    <n v="0"/>
    <n v="0"/>
    <n v="0"/>
    <n v="4442.7674158670334"/>
    <n v="21043.311498148767"/>
    <n v="4956.4793582402035"/>
    <n v="0"/>
    <n v="0"/>
    <n v="0"/>
    <n v="0"/>
    <n v="0"/>
    <n v="388.76466297258906"/>
    <m/>
    <n v="88.876605308608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4.23171919119216"/>
    <n v="0"/>
    <n v="0"/>
    <n v="0"/>
    <n v="11124.65"/>
    <n v="83"/>
    <m/>
    <m/>
    <m/>
    <m/>
    <m/>
    <m/>
    <m/>
    <m/>
    <m/>
    <n v="5690.711077431396"/>
    <m/>
    <m/>
    <m/>
    <m/>
    <m/>
    <m/>
    <m/>
    <m/>
    <m/>
    <m/>
    <m/>
    <m/>
    <n v="30116.229299999999"/>
    <n v="-4053.7830000000031"/>
    <m/>
    <m/>
    <m/>
    <m/>
    <n v="-4051.5659100000021"/>
    <n v="0"/>
    <n v="31"/>
    <n v="-312.25703042050736"/>
    <n v="0"/>
    <n v="0"/>
    <n v="0"/>
    <n v="0"/>
    <n v="0"/>
    <n v="0"/>
    <n v="0"/>
    <n v="-23.769604851233453"/>
    <n v="0"/>
    <n v="0"/>
    <n v="0"/>
    <n v="0"/>
    <n v="0"/>
    <n v="0"/>
    <n v="0"/>
    <n v="0"/>
    <n v="-248.00834937876243"/>
    <m/>
    <n v="0"/>
    <n v="0"/>
    <n v="0"/>
    <n v="0"/>
    <n v="-33.129865427046354"/>
    <n v="-7.3492107634653792"/>
    <n v="0"/>
    <n v="0"/>
    <m/>
    <m/>
    <m/>
    <n v="21043.311498148767"/>
    <n v="0"/>
    <n v="0"/>
    <n v="-4051.5659100000012"/>
    <n v="0"/>
    <n v="0"/>
    <n v="0"/>
    <n v="-3739.2695167953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06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84.697999999999993"/>
    <n v="84.697999999999993"/>
    <n v="84.697999999999993"/>
    <n v="84.697999999999993"/>
    <m/>
    <n v="388.92"/>
    <n v="65.989999999999995"/>
    <m/>
    <n v="38529.967179999992"/>
    <n v="38529.967179999992"/>
    <n v="33961.357059999995"/>
    <n v="0"/>
    <n v="2836.7209807792856"/>
    <n v="0"/>
    <n v="0"/>
    <n v="0"/>
    <n v="5009.5958420838015"/>
    <n v="23728.112664260949"/>
    <n v="5588.8494850610123"/>
    <n v="0"/>
    <n v="0"/>
    <n v="0"/>
    <n v="0"/>
    <n v="0"/>
    <n v="438.36502271558072"/>
    <m/>
    <n v="100.21588589634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7.90833354223957"/>
    <n v="0"/>
    <n v="0"/>
    <n v="0"/>
    <n v="15329.48"/>
    <n v="2"/>
    <m/>
    <m/>
    <m/>
    <m/>
    <m/>
    <m/>
    <m/>
    <m/>
    <m/>
    <n v="6416.7578186032515"/>
    <m/>
    <m/>
    <m/>
    <m/>
    <m/>
    <m/>
    <m/>
    <m/>
    <m/>
    <m/>
    <m/>
    <m/>
    <n v="33962.159000000007"/>
    <n v="-4567.8381799999916"/>
    <m/>
    <m/>
    <m/>
    <m/>
    <n v="-4568.6101199999994"/>
    <n v="0"/>
    <n v="31"/>
    <n v="-352.09619924494655"/>
    <n v="0"/>
    <n v="0"/>
    <n v="0"/>
    <n v="0"/>
    <n v="0"/>
    <n v="0"/>
    <n v="0"/>
    <n v="-26.802238894049879"/>
    <n v="0"/>
    <n v="0"/>
    <n v="0"/>
    <n v="0"/>
    <n v="0"/>
    <n v="0"/>
    <n v="0"/>
    <n v="0"/>
    <n v="-279.65037994397471"/>
    <m/>
    <n v="0"/>
    <n v="0"/>
    <n v="0"/>
    <n v="0"/>
    <n v="-37.35672398680714"/>
    <n v="-8.2868564201149866"/>
    <n v="0"/>
    <n v="0"/>
    <m/>
    <m/>
    <m/>
    <n v="23728.112664260949"/>
    <n v="0"/>
    <n v="0"/>
    <n v="-4568.6101199999976"/>
    <n v="0"/>
    <n v="0"/>
    <n v="0"/>
    <n v="-4216.342488888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07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5.2949999999999999"/>
    <n v="4.9772999999999996"/>
    <n v="5.2949999999999999"/>
    <n v="4.9772999999999996"/>
    <m/>
    <n v="707.13"/>
    <n v="119.97"/>
    <m/>
    <n v="4379.4944999999998"/>
    <n v="4379.4944999999998"/>
    <n v="3860.2138499999996"/>
    <n v="0"/>
    <n v="322.43838736615652"/>
    <n v="0"/>
    <n v="0"/>
    <n v="0"/>
    <n v="569.42012119710364"/>
    <n v="2697.0768131749746"/>
    <n v="635.26149642683606"/>
    <n v="0"/>
    <n v="0"/>
    <n v="0"/>
    <n v="0"/>
    <n v="0"/>
    <n v="49.827146187395222"/>
    <m/>
    <n v="11.3911268876402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104929516553199"/>
    <n v="0"/>
    <n v="0"/>
    <n v="0"/>
    <n v="1460.11"/>
    <n v="7"/>
    <m/>
    <m/>
    <m/>
    <m/>
    <n v="231.61283100000023"/>
    <m/>
    <m/>
    <m/>
    <m/>
    <n v="729.36642594338923"/>
    <m/>
    <m/>
    <m/>
    <m/>
    <m/>
    <m/>
    <m/>
    <m/>
    <m/>
    <m/>
    <m/>
    <m/>
    <n v="3630.5694000000003"/>
    <n v="-486.18543000000045"/>
    <m/>
    <m/>
    <m/>
    <m/>
    <n v="-519.28065000000026"/>
    <n v="0"/>
    <n v="31"/>
    <n v="-40.02132442757943"/>
    <n v="0"/>
    <n v="0"/>
    <n v="0"/>
    <n v="0"/>
    <n v="0"/>
    <n v="0"/>
    <n v="0"/>
    <n v="-3.0465000771496307"/>
    <n v="0"/>
    <n v="0"/>
    <n v="0"/>
    <n v="0"/>
    <n v="0"/>
    <n v="0"/>
    <n v="0"/>
    <n v="0"/>
    <n v="-31.78670660471397"/>
    <m/>
    <n v="0"/>
    <n v="0"/>
    <n v="0"/>
    <n v="0"/>
    <n v="-4.2461849160363698"/>
    <n v="-0.94193282967950154"/>
    <n v="0"/>
    <n v="0"/>
    <m/>
    <m/>
    <m/>
    <n v="2697.0768131749746"/>
    <n v="0"/>
    <n v="0"/>
    <n v="-519.28065000000015"/>
    <n v="0"/>
    <n v="0"/>
    <n v="0"/>
    <n v="-479.254280527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08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3.51"/>
    <n v="3.2993999999999999"/>
    <n v="3.51"/>
    <n v="3.2993999999999999"/>
    <m/>
    <n v="3312.96"/>
    <n v="119.97"/>
    <m/>
    <n v="12049.584299999999"/>
    <n v="12049.584299999999"/>
    <n v="10459.133099999999"/>
    <n v="0"/>
    <n v="185.95469376771135"/>
    <n v="0"/>
    <n v="0"/>
    <n v="0"/>
    <n v="2624.2129057617635"/>
    <n v="8751.0997461109473"/>
    <n v="421.10818743308675"/>
    <n v="0"/>
    <n v="0"/>
    <n v="0"/>
    <n v="0"/>
    <n v="0"/>
    <n v="33.029892940086349"/>
    <m/>
    <n v="2.9509692938607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252504391240031"/>
    <n v="0"/>
    <n v="0"/>
    <n v="0"/>
    <n v="0"/>
    <n v="0"/>
    <m/>
    <m/>
    <m/>
    <m/>
    <n v="627.5479859999997"/>
    <m/>
    <m/>
    <m/>
    <m/>
    <n v="452.36069182432681"/>
    <m/>
    <m/>
    <m/>
    <m/>
    <m/>
    <m/>
    <m/>
    <m/>
    <m/>
    <m/>
    <m/>
    <m/>
    <n v="9833.3729999999996"/>
    <n v="-1493.2662420000015"/>
    <m/>
    <m/>
    <m/>
    <m/>
    <n v="-1590.4511999999995"/>
    <n v="0"/>
    <n v="31"/>
    <n v="-35.430613293584884"/>
    <n v="0"/>
    <n v="0"/>
    <n v="0"/>
    <n v="0"/>
    <n v="0"/>
    <n v="0"/>
    <n v="0"/>
    <n v="-14.040011095952195"/>
    <n v="0"/>
    <n v="0"/>
    <n v="0"/>
    <n v="0"/>
    <n v="0"/>
    <n v="0"/>
    <n v="0"/>
    <n v="0"/>
    <n v="-18.331834930843115"/>
    <m/>
    <n v="0"/>
    <n v="0"/>
    <n v="0"/>
    <n v="0"/>
    <n v="-2.8147514740864281"/>
    <n v="-0.24401579270260854"/>
    <n v="0"/>
    <n v="0"/>
    <m/>
    <m/>
    <m/>
    <n v="8751.0997461109473"/>
    <n v="0"/>
    <n v="0"/>
    <n v="-1590.4511999999995"/>
    <n v="0"/>
    <n v="0"/>
    <n v="0"/>
    <n v="-1555.0176369316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09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33.279000000000003"/>
    <n v="31.282260000000001"/>
    <n v="33.279000000000003"/>
    <n v="31.282260000000001"/>
    <m/>
    <n v="72.13"/>
    <n v="119.97"/>
    <m/>
    <n v="6392.8959000000004"/>
    <n v="6392.8959000000004"/>
    <n v="6190.2267900000006"/>
    <n v="0"/>
    <n v="1763.0730068078824"/>
    <n v="0"/>
    <n v="0"/>
    <n v="0"/>
    <n v="0"/>
    <n v="0"/>
    <n v="3992.6095070044721"/>
    <n v="0"/>
    <n v="0"/>
    <n v="0"/>
    <n v="0"/>
    <n v="0"/>
    <n v="313.16290802083586"/>
    <m/>
    <n v="27.97871998016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6.31113778805616"/>
    <n v="0"/>
    <n v="0"/>
    <n v="0"/>
    <n v="0"/>
    <n v="0"/>
    <m/>
    <m/>
    <m/>
    <m/>
    <n v="371.4136074000005"/>
    <m/>
    <m/>
    <m/>
    <m/>
    <n v="4288.920644792528"/>
    <m/>
    <m/>
    <m/>
    <m/>
    <m/>
    <m/>
    <m/>
    <m/>
    <m/>
    <m/>
    <m/>
    <m/>
    <n v="5818.3927999999996"/>
    <n v="-190.95934600000146"/>
    <m/>
    <m/>
    <m/>
    <m/>
    <n v="-202.66910999999965"/>
    <n v="0"/>
    <n v="31"/>
    <n v="-202.808504425926"/>
    <n v="0"/>
    <n v="0"/>
    <n v="0"/>
    <n v="0"/>
    <n v="0"/>
    <n v="0"/>
    <n v="0"/>
    <n v="0"/>
    <n v="0"/>
    <n v="0"/>
    <n v="0"/>
    <n v="0"/>
    <n v="0"/>
    <n v="0"/>
    <n v="0"/>
    <n v="0"/>
    <n v="-173.80773067336986"/>
    <m/>
    <n v="0"/>
    <n v="0"/>
    <n v="0"/>
    <n v="0"/>
    <n v="-26.687212053026315"/>
    <n v="-2.3135616995299451"/>
    <n v="0"/>
    <n v="0"/>
    <m/>
    <m/>
    <m/>
    <n v="0"/>
    <n v="0"/>
    <n v="0"/>
    <n v="-202.6691099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10"/>
    <s v="Regular"/>
    <s v="Verde"/>
    <s v="A4"/>
    <s v="Serviço público"/>
    <s v="Água, esgoto e saneamento"/>
    <s v="Não se aplica"/>
    <s v="Não se aplica"/>
    <s v="Não se aplica"/>
    <s v="CATIVO"/>
    <x v="6"/>
    <n v="100"/>
    <n v="94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247.51"/>
    <n v="1"/>
    <m/>
    <m/>
    <m/>
    <m/>
    <n v="246.89999999999998"/>
    <m/>
    <m/>
    <m/>
    <m/>
    <n v="0"/>
    <m/>
    <m/>
    <m/>
    <m/>
    <m/>
    <m/>
    <m/>
    <m/>
    <m/>
    <m/>
    <m/>
    <m/>
    <n v="3868.1"/>
    <n v="-483.19000000000096"/>
    <m/>
    <m/>
    <m/>
    <m/>
    <n v="-514"/>
    <n v="0"/>
    <n v="31"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211"/>
    <s v="Regular"/>
    <s v="Convencional"/>
    <s v="B1"/>
    <s v="Residencial"/>
    <s v="Residencial"/>
    <s v="Não se aplica"/>
    <s v="Não se aplica"/>
    <s v="Não se aplica"/>
    <s v="CATIVO"/>
    <x v="7"/>
    <n v="0"/>
    <n v="0"/>
    <n v="526.52200000000005"/>
    <n v="526.52200000000005"/>
    <n v="526.52200000000005"/>
    <n v="526.52200000000005"/>
    <m/>
    <n v="707.13"/>
    <n v="119.97"/>
    <m/>
    <n v="435486.34620000003"/>
    <n v="435486.34620000003"/>
    <n v="383850.33366"/>
    <n v="0"/>
    <n v="32062.493785232007"/>
    <n v="0"/>
    <n v="0"/>
    <n v="0"/>
    <n v="56621.760349941724"/>
    <n v="268190.79845637659"/>
    <n v="63168.867539499639"/>
    <n v="0"/>
    <n v="0"/>
    <n v="0"/>
    <n v="0"/>
    <n v="0"/>
    <n v="4954.690965982948"/>
    <m/>
    <n v="1132.7061210829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57.5667042331697"/>
    <n v="0"/>
    <n v="0"/>
    <n v="0"/>
    <n v="85233.98"/>
    <n v="3111"/>
    <m/>
    <m/>
    <m/>
    <m/>
    <m/>
    <m/>
    <m/>
    <m/>
    <m/>
    <n v="72526.434243732801"/>
    <m/>
    <m/>
    <m/>
    <m/>
    <m/>
    <m/>
    <m/>
    <m/>
    <m/>
    <m/>
    <m/>
    <m/>
    <n v="383848.87559999997"/>
    <n v="-51637.500600000087"/>
    <m/>
    <m/>
    <m/>
    <m/>
    <n v="-51636.012540000032"/>
    <n v="0"/>
    <n v="30"/>
    <n v="-3979.6237545340846"/>
    <n v="0"/>
    <n v="0"/>
    <n v="0"/>
    <n v="0"/>
    <n v="0"/>
    <n v="0"/>
    <n v="0"/>
    <n v="-302.93660313899454"/>
    <n v="0"/>
    <n v="0"/>
    <n v="0"/>
    <n v="0"/>
    <n v="0"/>
    <n v="0"/>
    <n v="0"/>
    <n v="0"/>
    <n v="-3160.7932643866297"/>
    <m/>
    <n v="0"/>
    <n v="0"/>
    <n v="0"/>
    <n v="0"/>
    <n v="-422.23036342989599"/>
    <n v="-93.66352357856681"/>
    <n v="0"/>
    <n v="0"/>
    <m/>
    <m/>
    <m/>
    <n v="268190.79845637659"/>
    <n v="0"/>
    <n v="0"/>
    <n v="-51636.012540000025"/>
    <n v="0"/>
    <n v="0"/>
    <n v="0"/>
    <n v="-47655.887118392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12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10.42"/>
    <n v="-10.42"/>
    <n v="-10.42"/>
    <n v="-10.42"/>
    <m/>
    <n v="707.13"/>
    <n v="119.97"/>
    <m/>
    <n v="-8618.3819999999996"/>
    <n v="-8618.3819999999996"/>
    <n v="-7596.4925999999996"/>
    <n v="0"/>
    <n v="-634.52464520403225"/>
    <n v="0"/>
    <n v="0"/>
    <n v="0"/>
    <n v="-1120.5585765578508"/>
    <n v="-5307.5619250770978"/>
    <n v="-1250.1274396161721"/>
    <n v="0"/>
    <n v="0"/>
    <n v="0"/>
    <n v="0"/>
    <n v="0"/>
    <n v="-98.054553970284843"/>
    <m/>
    <n v="-22.41653298757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5.18854873701309"/>
    <n v="0"/>
    <n v="0"/>
    <n v="0"/>
    <n v="-2822.62"/>
    <n v="0"/>
    <m/>
    <m/>
    <m/>
    <m/>
    <m/>
    <m/>
    <m/>
    <m/>
    <m/>
    <n v="-1435.3159883531853"/>
    <m/>
    <m/>
    <m/>
    <m/>
    <m/>
    <m/>
    <m/>
    <m/>
    <m/>
    <m/>
    <m/>
    <m/>
    <n v="-7596.4925999999996"/>
    <n v="1021.8593999999994"/>
    <m/>
    <m/>
    <m/>
    <m/>
    <n v="1021.8894000000005"/>
    <n v="0"/>
    <n v="30"/>
    <n v="78.757733812158676"/>
    <n v="0"/>
    <n v="0"/>
    <n v="0"/>
    <n v="0"/>
    <n v="0"/>
    <n v="0"/>
    <n v="0"/>
    <n v="5.9951899535219582"/>
    <n v="0"/>
    <n v="0"/>
    <n v="0"/>
    <n v="0"/>
    <n v="0"/>
    <n v="0"/>
    <n v="0"/>
    <n v="0"/>
    <n v="62.552876831183994"/>
    <m/>
    <n v="0"/>
    <n v="0"/>
    <n v="0"/>
    <n v="0"/>
    <n v="8.356042837601322"/>
    <n v="1.8536241898508798"/>
    <n v="0"/>
    <n v="0"/>
    <m/>
    <m/>
    <m/>
    <n v="-5307.5619250770978"/>
    <n v="0"/>
    <n v="0"/>
    <n v="1021.8894000000009"/>
    <n v="0"/>
    <n v="0"/>
    <n v="0"/>
    <n v="943.12173807295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13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6.2670000000000003"/>
    <n v="6.2670000000000003"/>
    <n v="6.2670000000000003"/>
    <n v="6.2670000000000003"/>
    <m/>
    <n v="707.13"/>
    <n v="119.97"/>
    <m/>
    <n v="5183.4357"/>
    <n v="5183.4357"/>
    <n v="4568.8310099999999"/>
    <n v="0"/>
    <n v="381.62821031609121"/>
    <n v="0"/>
    <n v="0"/>
    <n v="0"/>
    <n v="673.948234096742"/>
    <n v="3192.1775992762164"/>
    <n v="751.8760714083063"/>
    <n v="0"/>
    <n v="0"/>
    <n v="0"/>
    <n v="0"/>
    <n v="0"/>
    <n v="58.973885770803754"/>
    <m/>
    <n v="13.4821892738133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.37971544480433"/>
    <n v="0"/>
    <n v="0"/>
    <n v="0"/>
    <n v="3345.54"/>
    <n v="45"/>
    <m/>
    <m/>
    <m/>
    <m/>
    <m/>
    <m/>
    <m/>
    <m/>
    <m/>
    <n v="863.25578685311064"/>
    <m/>
    <m/>
    <m/>
    <m/>
    <m/>
    <m/>
    <m/>
    <m/>
    <m/>
    <m/>
    <m/>
    <m/>
    <n v="4571.0180999999993"/>
    <n v="-612.44760000000133"/>
    <m/>
    <m/>
    <m/>
    <m/>
    <n v="-614.60469000000035"/>
    <n v="0"/>
    <n v="30"/>
    <n v="-47.368015144030096"/>
    <n v="0"/>
    <n v="0"/>
    <n v="0"/>
    <n v="0"/>
    <n v="0"/>
    <n v="0"/>
    <n v="0"/>
    <n v="-3.6057442839464784"/>
    <n v="0"/>
    <n v="0"/>
    <n v="0"/>
    <n v="0"/>
    <n v="0"/>
    <n v="0"/>
    <n v="0"/>
    <n v="0"/>
    <n v="-37.621773426202537"/>
    <m/>
    <n v="0"/>
    <n v="0"/>
    <n v="0"/>
    <n v="0"/>
    <n v="-5.0256545550141496"/>
    <n v="-1.1148428788671261"/>
    <n v="0"/>
    <n v="0"/>
    <m/>
    <m/>
    <m/>
    <n v="3192.1775992762164"/>
    <n v="0"/>
    <n v="0"/>
    <n v="-614.60469000000012"/>
    <n v="0"/>
    <n v="0"/>
    <n v="0"/>
    <n v="-567.230703695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14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215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5.19"/>
    <n v="5.19"/>
    <n v="5.19"/>
    <n v="5.19"/>
    <m/>
    <n v="636.83000000000004"/>
    <n v="119.97"/>
    <m/>
    <n v="3927.7920000000004"/>
    <n v="3927.7920000000004"/>
    <n v="3454.1007"/>
    <n v="0"/>
    <n v="0"/>
    <n v="0"/>
    <n v="0"/>
    <n v="0"/>
    <n v="558.12850406288351"/>
    <n v="2643.5937035652728"/>
    <n v="622.66424295661557"/>
    <n v="0"/>
    <n v="0"/>
    <n v="0"/>
    <n v="0"/>
    <n v="0"/>
    <n v="0"/>
    <m/>
    <n v="11.1652405187635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238826098377928"/>
    <n v="0"/>
    <n v="0"/>
    <n v="0"/>
    <n v="164.35"/>
    <n v="13"/>
    <m/>
    <m/>
    <m/>
    <m/>
    <m/>
    <m/>
    <m/>
    <n v="2245.1421"/>
    <m/>
    <n v="714.90306905499347"/>
    <m/>
    <m/>
    <m/>
    <m/>
    <m/>
    <m/>
    <m/>
    <m/>
    <m/>
    <m/>
    <m/>
    <m/>
    <n v="1208.9585999999999"/>
    <n v="-165.79860000000008"/>
    <m/>
    <m/>
    <m/>
    <m/>
    <n v="-473.69130000000052"/>
    <n v="0"/>
    <n v="30"/>
    <n v="-3.9093421693000892"/>
    <n v="0"/>
    <n v="0"/>
    <n v="0"/>
    <n v="0"/>
    <n v="0"/>
    <n v="0"/>
    <n v="0"/>
    <n v="-2.9860878943165972"/>
    <n v="0"/>
    <n v="0"/>
    <n v="0"/>
    <n v="0"/>
    <n v="0"/>
    <n v="0"/>
    <n v="0"/>
    <n v="0"/>
    <n v="0"/>
    <m/>
    <n v="0"/>
    <n v="0"/>
    <n v="0"/>
    <n v="0"/>
    <n v="0"/>
    <n v="-0.92325427498330725"/>
    <n v="0"/>
    <n v="0"/>
    <m/>
    <m/>
    <m/>
    <n v="2643.5937035652728"/>
    <n v="0"/>
    <n v="0"/>
    <n v="-473.69130000000041"/>
    <n v="0"/>
    <n v="0"/>
    <n v="0"/>
    <n v="-469.75065456800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16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10.208"/>
    <n v="10.208"/>
    <n v="10.208"/>
    <n v="10.208"/>
    <m/>
    <n v="636.83000000000004"/>
    <n v="119.97"/>
    <m/>
    <n v="7725.4144000000006"/>
    <n v="7725.4144000000006"/>
    <n v="6793.7302399999999"/>
    <n v="0"/>
    <n v="0"/>
    <n v="0"/>
    <n v="0"/>
    <n v="0"/>
    <n v="1097.7602638678063"/>
    <n v="5199.5769799603668"/>
    <n v="1224.6929849905841"/>
    <n v="0"/>
    <n v="0"/>
    <n v="0"/>
    <n v="0"/>
    <n v="0"/>
    <n v="0"/>
    <m/>
    <n v="21.9604576523195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42079707364968"/>
    <n v="0"/>
    <n v="0"/>
    <n v="0"/>
    <n v="555.49"/>
    <n v="32"/>
    <m/>
    <m/>
    <m/>
    <m/>
    <m/>
    <m/>
    <m/>
    <n v="2717.4716799999997"/>
    <m/>
    <n v="1406.1137820642339"/>
    <m/>
    <m/>
    <m/>
    <m/>
    <m/>
    <m/>
    <m/>
    <m/>
    <m/>
    <m/>
    <m/>
    <m/>
    <n v="4077.0572000000002"/>
    <n v="-558.22144000000117"/>
    <m/>
    <m/>
    <m/>
    <m/>
    <n v="-931.68416000000104"/>
    <n v="0"/>
    <n v="30"/>
    <n v="-7.6891261780760942"/>
    <n v="0"/>
    <n v="0"/>
    <n v="0"/>
    <n v="0"/>
    <n v="0"/>
    <n v="0"/>
    <n v="0"/>
    <n v="-5.8732148796116235"/>
    <n v="0"/>
    <n v="0"/>
    <n v="0"/>
    <n v="0"/>
    <n v="0"/>
    <n v="0"/>
    <n v="0"/>
    <n v="0"/>
    <n v="0"/>
    <m/>
    <n v="0"/>
    <n v="0"/>
    <n v="0"/>
    <n v="0"/>
    <n v="0"/>
    <n v="-1.8159112984642753"/>
    <n v="0"/>
    <n v="0"/>
    <m/>
    <m/>
    <m/>
    <n v="5199.5769799603668"/>
    <n v="0"/>
    <n v="0"/>
    <n v="-931.6841600000007"/>
    <n v="0"/>
    <n v="0"/>
    <n v="0"/>
    <n v="-923.93346470717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17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10.356999999999999"/>
    <n v="10.356999999999999"/>
    <n v="10.356999999999999"/>
    <n v="10.356999999999999"/>
    <m/>
    <n v="636.83000000000004"/>
    <n v="119.97"/>
    <m/>
    <n v="7838.1775999999991"/>
    <n v="7838.1775999999991"/>
    <n v="6892.8942099999986"/>
    <n v="0"/>
    <n v="0"/>
    <n v="0"/>
    <n v="0"/>
    <n v="0"/>
    <n v="1113.7836062773185"/>
    <n v="5275.472059311277"/>
    <n v="1242.5690875340397"/>
    <n v="0"/>
    <n v="0"/>
    <n v="0"/>
    <n v="0"/>
    <n v="0"/>
    <n v="0"/>
    <m/>
    <n v="22.281001166249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4.06888668610793"/>
    <n v="0"/>
    <n v="0"/>
    <n v="0"/>
    <n v="1413.09"/>
    <n v="79"/>
    <m/>
    <m/>
    <m/>
    <m/>
    <m/>
    <m/>
    <m/>
    <n v="689.15477999999939"/>
    <m/>
    <n v="1426.6379742201475"/>
    <m/>
    <m/>
    <m/>
    <m/>
    <m/>
    <m/>
    <m/>
    <m/>
    <m/>
    <m/>
    <m/>
    <m/>
    <n v="6205.5364"/>
    <n v="-848.85343999999986"/>
    <m/>
    <m/>
    <m/>
    <m/>
    <n v="-945.28339000000096"/>
    <n v="0"/>
    <n v="30"/>
    <n v="-7.8013597008553006"/>
    <n v="0"/>
    <n v="0"/>
    <n v="0"/>
    <n v="0"/>
    <n v="0"/>
    <n v="0"/>
    <n v="0"/>
    <n v="-5.9589426438221835"/>
    <n v="0"/>
    <n v="0"/>
    <n v="0"/>
    <n v="0"/>
    <n v="0"/>
    <n v="0"/>
    <n v="0"/>
    <n v="0"/>
    <n v="0"/>
    <m/>
    <n v="0"/>
    <n v="0"/>
    <n v="0"/>
    <n v="0"/>
    <n v="0"/>
    <n v="-1.8424170570331633"/>
    <n v="0"/>
    <n v="0"/>
    <m/>
    <m/>
    <m/>
    <n v="5275.472059311277"/>
    <n v="0"/>
    <n v="0"/>
    <n v="-945.28339000000051"/>
    <n v="0"/>
    <n v="0"/>
    <n v="0"/>
    <n v="-937.41956249727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18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3.56"/>
    <n v="3.56"/>
    <n v="3.56"/>
    <n v="3.56"/>
    <m/>
    <n v="636.83000000000004"/>
    <n v="119.97"/>
    <m/>
    <n v="2694.2080000000005"/>
    <n v="2694.2080000000005"/>
    <n v="2369.2867999999999"/>
    <n v="0"/>
    <n v="0"/>
    <n v="0"/>
    <n v="0"/>
    <n v="0"/>
    <n v="382.83959045546533"/>
    <n v="1813.3320972432314"/>
    <n v="427.10687956176326"/>
    <n v="0"/>
    <n v="0"/>
    <n v="0"/>
    <n v="0"/>
    <n v="0"/>
    <n v="0"/>
    <m/>
    <n v="7.658623554296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269792082895073"/>
    <n v="0"/>
    <n v="0"/>
    <n v="0"/>
    <n v="789.52"/>
    <n v="49"/>
    <m/>
    <m/>
    <m/>
    <m/>
    <m/>
    <m/>
    <m/>
    <m/>
    <m/>
    <n v="490.37667164465836"/>
    <m/>
    <m/>
    <m/>
    <m/>
    <m/>
    <m/>
    <m/>
    <m/>
    <m/>
    <m/>
    <m/>
    <m/>
    <n v="2369.2867999999999"/>
    <n v="-324.95120000000134"/>
    <m/>
    <m/>
    <m/>
    <m/>
    <n v="-324.92120000000034"/>
    <n v="0"/>
    <n v="30"/>
    <n v="-2.6815526247991102"/>
    <n v="0"/>
    <n v="0"/>
    <n v="0"/>
    <n v="0"/>
    <n v="0"/>
    <n v="0"/>
    <n v="0"/>
    <n v="-2.048260675099641"/>
    <n v="0"/>
    <n v="0"/>
    <n v="0"/>
    <n v="0"/>
    <n v="0"/>
    <n v="0"/>
    <n v="0"/>
    <n v="0"/>
    <n v="0"/>
    <m/>
    <n v="0"/>
    <n v="0"/>
    <n v="0"/>
    <n v="0"/>
    <n v="0"/>
    <n v="-0.63329194969953306"/>
    <n v="0"/>
    <n v="0"/>
    <m/>
    <m/>
    <m/>
    <n v="1813.3320972432314"/>
    <n v="0"/>
    <n v="0"/>
    <n v="-324.92120000000045"/>
    <n v="0"/>
    <n v="0"/>
    <n v="0"/>
    <n v="-322.21817538768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19"/>
    <s v="Regular"/>
    <s v="Convencional"/>
    <s v="B3"/>
    <s v="Industrial"/>
    <s v="Não se aplica"/>
    <s v="Não se aplica"/>
    <s v="Não se aplica"/>
    <s v="Não se aplica"/>
    <s v="CATIVO"/>
    <x v="7"/>
    <n v="0"/>
    <n v="0"/>
    <n v="139.82900000000001"/>
    <n v="139.82900000000001"/>
    <n v="139.82900000000001"/>
    <n v="139.82900000000001"/>
    <m/>
    <n v="707.13"/>
    <n v="119.97"/>
    <m/>
    <n v="115652.5659"/>
    <n v="115652.5659"/>
    <n v="101939.53587000001"/>
    <n v="0"/>
    <n v="8514.870116529235"/>
    <n v="0"/>
    <n v="0"/>
    <n v="0"/>
    <n v="15037.100307246423"/>
    <n v="71223.711748714544"/>
    <n v="16775.822433213987"/>
    <n v="0"/>
    <n v="0"/>
    <n v="0"/>
    <n v="0"/>
    <n v="0"/>
    <n v="1315.822478609497"/>
    <m/>
    <n v="300.813953082502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5.0988081907685"/>
    <n v="0"/>
    <n v="0"/>
    <n v="0"/>
    <n v="38458.85"/>
    <n v="67"/>
    <m/>
    <m/>
    <m/>
    <m/>
    <m/>
    <m/>
    <m/>
    <m/>
    <m/>
    <n v="19260.921241404754"/>
    <m/>
    <m/>
    <m/>
    <m/>
    <m/>
    <m/>
    <m/>
    <m/>
    <m/>
    <m/>
    <m/>
    <m/>
    <n v="101940.26490000001"/>
    <n v="-13712.330999999976"/>
    <m/>
    <m/>
    <m/>
    <m/>
    <n v="-13713.030030000007"/>
    <n v="0"/>
    <n v="30"/>
    <n v="-1056.8728561631797"/>
    <n v="0"/>
    <n v="0"/>
    <n v="0"/>
    <n v="0"/>
    <n v="0"/>
    <n v="0"/>
    <n v="0"/>
    <n v="-80.451191555759578"/>
    <n v="0"/>
    <n v="0"/>
    <n v="0"/>
    <n v="0"/>
    <n v="0"/>
    <n v="0"/>
    <n v="0"/>
    <n v="0"/>
    <n v="-839.41518372625978"/>
    <m/>
    <n v="0"/>
    <n v="0"/>
    <n v="0"/>
    <n v="0"/>
    <n v="-112.13216064673247"/>
    <n v="-24.874320234420225"/>
    <n v="0"/>
    <n v="0"/>
    <m/>
    <m/>
    <m/>
    <n v="71223.711748714544"/>
    <n v="0"/>
    <n v="0"/>
    <n v="-13713.030029999994"/>
    <n v="0"/>
    <n v="0"/>
    <n v="0"/>
    <n v="-12656.023945585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20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0.2"/>
    <n v="0.2"/>
    <n v="0.2"/>
    <n v="0.2"/>
    <m/>
    <n v="707.13"/>
    <n v="119.97"/>
    <m/>
    <n v="165.42000000000002"/>
    <n v="165.42000000000002"/>
    <n v="145.80599999999998"/>
    <n v="0"/>
    <n v="12.17897591562442"/>
    <n v="0"/>
    <n v="0"/>
    <n v="0"/>
    <n v="21.507842160419401"/>
    <n v="101.8725897327658"/>
    <n v="23.9947685147058"/>
    <n v="0"/>
    <n v="0"/>
    <n v="0"/>
    <n v="0"/>
    <n v="0"/>
    <n v="1.8820451817713022"/>
    <m/>
    <n v="0.4302597502413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544827012862399"/>
    <n v="0"/>
    <n v="0"/>
    <n v="0"/>
    <n v="915.71"/>
    <n v="2"/>
    <m/>
    <m/>
    <m/>
    <m/>
    <m/>
    <m/>
    <m/>
    <m/>
    <m/>
    <n v="27.54925121599204"/>
    <m/>
    <m/>
    <m/>
    <m/>
    <m/>
    <m/>
    <m/>
    <m/>
    <m/>
    <m/>
    <m/>
    <m/>
    <n v="145.80599999999998"/>
    <n v="-19.644000000000005"/>
    <m/>
    <m/>
    <m/>
    <m/>
    <n v="-19.614000000000011"/>
    <n v="0"/>
    <n v="30"/>
    <n v="-1.5116647564713617"/>
    <n v="0"/>
    <n v="0"/>
    <n v="0"/>
    <n v="0"/>
    <n v="0"/>
    <n v="0"/>
    <n v="0"/>
    <n v="-0.1150708244437979"/>
    <n v="0"/>
    <n v="0"/>
    <n v="0"/>
    <n v="0"/>
    <n v="0"/>
    <n v="0"/>
    <n v="0"/>
    <n v="0"/>
    <n v="-1.2006310332280989"/>
    <m/>
    <n v="0"/>
    <n v="0"/>
    <n v="0"/>
    <n v="0"/>
    <n v="-0.16038469937814415"/>
    <n v="-3.5578199421322065E-2"/>
    <n v="0"/>
    <n v="0"/>
    <m/>
    <m/>
    <m/>
    <n v="101.8725897327658"/>
    <n v="0"/>
    <n v="0"/>
    <n v="-19.614000000000019"/>
    <n v="0"/>
    <n v="0"/>
    <n v="0"/>
    <n v="-18.102144684701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21"/>
    <s v="Regular"/>
    <s v="Verde"/>
    <s v="A4"/>
    <s v="Industrial"/>
    <s v="Não se aplica"/>
    <s v="Não se aplica"/>
    <s v="Não se aplica"/>
    <s v="Ponta"/>
    <s v="CATIVO"/>
    <x v="7"/>
    <n v="0"/>
    <n v="0"/>
    <n v="90.576999999999998"/>
    <n v="90.576999999999998"/>
    <n v="90.576999999999998"/>
    <n v="90.576999999999998"/>
    <m/>
    <n v="3312.96"/>
    <n v="119.97"/>
    <m/>
    <n v="310944.50060999999"/>
    <n v="310944.50060999999"/>
    <n v="269902.25037000002"/>
    <n v="0"/>
    <n v="4798.6376915663795"/>
    <n v="0"/>
    <n v="0"/>
    <n v="0"/>
    <n v="67718.898109738817"/>
    <n v="225825.74407506877"/>
    <n v="10866.870738782536"/>
    <n v="0"/>
    <n v="0"/>
    <n v="0"/>
    <n v="0"/>
    <n v="0"/>
    <n v="852.35003214649612"/>
    <m/>
    <n v="76.1509816894660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6.48378639468615"/>
    <n v="0"/>
    <n v="0"/>
    <n v="0"/>
    <n v="0"/>
    <n v="0"/>
    <m/>
    <m/>
    <m/>
    <m/>
    <m/>
    <m/>
    <m/>
    <m/>
    <m/>
    <n v="11673.354525177223"/>
    <m/>
    <m/>
    <m/>
    <m/>
    <m/>
    <m/>
    <m/>
    <m/>
    <m/>
    <m/>
    <m/>
    <m/>
    <n v="269911.18979999999"/>
    <n v="-41033.340810000023"/>
    <m/>
    <m/>
    <m/>
    <m/>
    <n v="-41042.250239999987"/>
    <n v="0"/>
    <n v="30"/>
    <n v="-914.30161261907779"/>
    <n v="0"/>
    <n v="0"/>
    <n v="0"/>
    <n v="0"/>
    <n v="0"/>
    <n v="0"/>
    <n v="0"/>
    <n v="-362.30828633562487"/>
    <n v="0"/>
    <n v="0"/>
    <n v="0"/>
    <n v="0"/>
    <n v="0"/>
    <n v="0"/>
    <n v="0"/>
    <n v="0"/>
    <n v="-473.06057337064885"/>
    <m/>
    <n v="0"/>
    <n v="0"/>
    <n v="0"/>
    <n v="0"/>
    <n v="-72.635824577870835"/>
    <n v="-6.2969283349356573"/>
    <n v="0"/>
    <n v="0"/>
    <m/>
    <m/>
    <m/>
    <n v="225825.74407506877"/>
    <n v="0"/>
    <n v="0"/>
    <n v="-41042.250239999965"/>
    <n v="0"/>
    <n v="0"/>
    <n v="0"/>
    <n v="-40127.872507224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22"/>
    <s v="Refaturamento - Regular"/>
    <s v="Verde"/>
    <s v="A4"/>
    <s v="Industrial"/>
    <s v="Não se aplica"/>
    <s v="Não se aplica"/>
    <s v="Não se aplica"/>
    <s v="Ponta"/>
    <s v="CATIVO"/>
    <x v="7"/>
    <n v="0"/>
    <n v="0"/>
    <n v="-2.9020000000000001"/>
    <n v="-2.9020000000000001"/>
    <n v="-2.9020000000000001"/>
    <n v="-2.9020000000000001"/>
    <m/>
    <n v="3312.96"/>
    <n v="119.97"/>
    <m/>
    <n v="-9962.3628600000011"/>
    <n v="-9962.3628600000011"/>
    <n v="-8647.4086200000002"/>
    <n v="0"/>
    <n v="-153.74373826606791"/>
    <n v="0"/>
    <n v="0"/>
    <n v="0"/>
    <n v="-2169.648391031521"/>
    <n v="-7235.2397331093944"/>
    <n v="-348.16409114838115"/>
    <n v="0"/>
    <n v="0"/>
    <n v="0"/>
    <n v="0"/>
    <n v="0"/>
    <n v="-27.308475587501594"/>
    <m/>
    <n v="-2.4398042423885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5.838965169053729"/>
    <n v="0"/>
    <n v="0"/>
    <n v="0"/>
    <n v="0"/>
    <n v="0"/>
    <m/>
    <m/>
    <m/>
    <m/>
    <m/>
    <m/>
    <m/>
    <m/>
    <m/>
    <n v="-374.00305631743487"/>
    <m/>
    <m/>
    <m/>
    <m/>
    <m/>
    <m/>
    <m/>
    <m/>
    <m/>
    <m/>
    <m/>
    <m/>
    <n v="-8641.4490000000005"/>
    <n v="1320.8838599999999"/>
    <m/>
    <m/>
    <m/>
    <m/>
    <n v="1314.9542399999998"/>
    <n v="0"/>
    <n v="30"/>
    <n v="29.293344666092253"/>
    <n v="0"/>
    <n v="0"/>
    <n v="0"/>
    <n v="0"/>
    <n v="0"/>
    <n v="0"/>
    <n v="0"/>
    <n v="11.608009173918617"/>
    <n v="0"/>
    <n v="0"/>
    <n v="0"/>
    <n v="0"/>
    <n v="0"/>
    <n v="0"/>
    <n v="0"/>
    <n v="0"/>
    <n v="15.156405974161459"/>
    <m/>
    <n v="0"/>
    <n v="0"/>
    <n v="0"/>
    <n v="0"/>
    <n v="2.3271819879768714"/>
    <n v="0.20174753003503376"/>
    <n v="0"/>
    <n v="0"/>
    <m/>
    <m/>
    <m/>
    <n v="-7235.2397331093944"/>
    <n v="0"/>
    <n v="0"/>
    <n v="1314.9542400000009"/>
    <n v="0"/>
    <n v="0"/>
    <n v="0"/>
    <n v="1285.6584565172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23"/>
    <s v="Sistema de Compensação"/>
    <s v="Verde"/>
    <s v="A4"/>
    <s v="Industrial"/>
    <s v="Não se aplica"/>
    <s v="Não se aplica"/>
    <s v="Não se aplica"/>
    <s v="Ponta"/>
    <s v="CATIVO"/>
    <x v="7"/>
    <n v="0"/>
    <n v="0"/>
    <n v="2.6850000000000001"/>
    <n v="2.6850000000000001"/>
    <n v="2.6850000000000001"/>
    <n v="2.6850000000000001"/>
    <m/>
    <n v="3312.96"/>
    <n v="119.97"/>
    <m/>
    <n v="9217.41705"/>
    <n v="9217.41705"/>
    <n v="8000.789850000001"/>
    <n v="0"/>
    <n v="142.24739395051424"/>
    <n v="0"/>
    <n v="0"/>
    <n v="0"/>
    <n v="2007.4107270570757"/>
    <n v="6694.2173271532465"/>
    <n v="322.12976730992534"/>
    <n v="0"/>
    <n v="0"/>
    <n v="0"/>
    <n v="0"/>
    <n v="0"/>
    <n v="25.266456565279732"/>
    <m/>
    <n v="2.25736540000459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90683028218789"/>
    <n v="0"/>
    <n v="0"/>
    <n v="0"/>
    <n v="0"/>
    <n v="0"/>
    <m/>
    <m/>
    <m/>
    <m/>
    <m/>
    <m/>
    <m/>
    <m/>
    <m/>
    <n v="346.03659759211325"/>
    <m/>
    <m/>
    <m/>
    <m/>
    <m/>
    <m/>
    <m/>
    <m/>
    <m/>
    <m/>
    <m/>
    <m/>
    <n v="8015.6889000000001"/>
    <n v="-1201.7581500000006"/>
    <m/>
    <m/>
    <m/>
    <m/>
    <n v="-1216.6271999999997"/>
    <n v="0"/>
    <n v="30"/>
    <n v="-27.102905040819678"/>
    <n v="0"/>
    <n v="0"/>
    <n v="0"/>
    <n v="0"/>
    <n v="0"/>
    <n v="0"/>
    <n v="0"/>
    <n v="-10.740008487929344"/>
    <n v="0"/>
    <n v="0"/>
    <n v="0"/>
    <n v="0"/>
    <n v="0"/>
    <n v="0"/>
    <n v="0"/>
    <n v="0"/>
    <n v="-14.023070310345787"/>
    <m/>
    <n v="0"/>
    <n v="0"/>
    <n v="0"/>
    <n v="0"/>
    <n v="-2.1531645891515865"/>
    <n v="-0.18666165339216656"/>
    <n v="0"/>
    <n v="0"/>
    <m/>
    <m/>
    <m/>
    <n v="6694.2173271532465"/>
    <n v="0"/>
    <n v="0"/>
    <n v="-1216.627199999999"/>
    <n v="0"/>
    <n v="0"/>
    <n v="0"/>
    <n v="-1189.5220385075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24"/>
    <s v="Regular"/>
    <s v="Verde"/>
    <s v="A4"/>
    <s v="Industrial"/>
    <s v="Não se aplica"/>
    <s v="Não se aplica"/>
    <s v="Não se aplica"/>
    <s v="Fora ponta"/>
    <s v="CATIVO"/>
    <x v="7"/>
    <n v="0"/>
    <n v="0"/>
    <n v="2329.02"/>
    <n v="2329.02"/>
    <n v="2329.02"/>
    <n v="2329.02"/>
    <m/>
    <n v="72.13"/>
    <n v="119.97"/>
    <m/>
    <n v="447404.74199999997"/>
    <n v="447404.74199999997"/>
    <n v="433221.01020000002"/>
    <n v="0"/>
    <n v="123388.09141848293"/>
    <n v="0"/>
    <n v="0"/>
    <n v="0"/>
    <n v="0"/>
    <n v="0"/>
    <n v="279421.47883060051"/>
    <n v="0"/>
    <n v="0"/>
    <n v="0"/>
    <n v="0"/>
    <n v="0"/>
    <n v="21916.604346244989"/>
    <m/>
    <n v="1958.08162529560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37.238682987427"/>
    <n v="0"/>
    <n v="0"/>
    <n v="0"/>
    <n v="0"/>
    <n v="0"/>
    <m/>
    <m/>
    <m/>
    <m/>
    <m/>
    <m/>
    <m/>
    <m/>
    <m/>
    <n v="300158.71751358791"/>
    <m/>
    <m/>
    <m/>
    <m/>
    <m/>
    <m/>
    <m/>
    <m/>
    <m/>
    <m/>
    <m/>
    <m/>
    <n v="433221.01020000002"/>
    <n v="-14183.761799999978"/>
    <m/>
    <m/>
    <m/>
    <m/>
    <n v="-14183.731799999974"/>
    <n v="0"/>
    <n v="30"/>
    <n v="-14193.487273598148"/>
    <n v="0"/>
    <n v="0"/>
    <n v="0"/>
    <n v="0"/>
    <n v="0"/>
    <n v="0"/>
    <n v="0"/>
    <n v="0"/>
    <n v="0"/>
    <n v="0"/>
    <n v="0"/>
    <n v="0"/>
    <n v="0"/>
    <n v="0"/>
    <n v="0"/>
    <n v="0"/>
    <n v="-12163.877547188662"/>
    <m/>
    <n v="0"/>
    <n v="0"/>
    <n v="0"/>
    <n v="0"/>
    <n v="-1867.6958627284257"/>
    <n v="-161.91386368097687"/>
    <n v="0"/>
    <n v="0"/>
    <m/>
    <m/>
    <m/>
    <n v="0"/>
    <n v="0"/>
    <n v="0"/>
    <n v="-14183.731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25"/>
    <s v="Refaturamento - Regular"/>
    <s v="Verde"/>
    <s v="A4"/>
    <s v="Industrial"/>
    <s v="Não se aplica"/>
    <s v="Não se aplica"/>
    <s v="Não se aplica"/>
    <s v="Fora ponta"/>
    <s v="CATIVO"/>
    <x v="7"/>
    <n v="0"/>
    <n v="0"/>
    <n v="2.8639999999999999"/>
    <n v="2.8639999999999999"/>
    <n v="2.8639999999999999"/>
    <n v="2.8639999999999999"/>
    <m/>
    <n v="72.13"/>
    <n v="119.97"/>
    <m/>
    <n v="550.17439999999988"/>
    <n v="550.17439999999988"/>
    <n v="532.73263999999995"/>
    <n v="0"/>
    <n v="151.73055354721518"/>
    <n v="0"/>
    <n v="0"/>
    <n v="0"/>
    <n v="0"/>
    <n v="0"/>
    <n v="343.60508513058704"/>
    <n v="0"/>
    <n v="0"/>
    <n v="0"/>
    <n v="0"/>
    <n v="0"/>
    <n v="26.950887002965047"/>
    <m/>
    <n v="2.40785642667156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50061896766708"/>
    <n v="0"/>
    <n v="0"/>
    <n v="0"/>
    <n v="0"/>
    <n v="0"/>
    <m/>
    <m/>
    <m/>
    <m/>
    <m/>
    <m/>
    <m/>
    <m/>
    <m/>
    <n v="369.10570409825414"/>
    <m/>
    <m/>
    <m/>
    <m/>
    <m/>
    <m/>
    <m/>
    <m/>
    <m/>
    <m/>
    <m/>
    <m/>
    <n v="531.98860000000002"/>
    <n v="-18.215799999999831"/>
    <m/>
    <m/>
    <m/>
    <m/>
    <n v="-17.441759999999967"/>
    <n v="0"/>
    <n v="30"/>
    <n v="-17.453756323082075"/>
    <n v="0"/>
    <n v="0"/>
    <n v="0"/>
    <n v="0"/>
    <n v="0"/>
    <n v="0"/>
    <n v="0"/>
    <n v="0"/>
    <n v="0"/>
    <n v="0"/>
    <n v="0"/>
    <n v="0"/>
    <n v="0"/>
    <n v="0"/>
    <n v="0"/>
    <n v="0"/>
    <n v="-14.95794166436886"/>
    <m/>
    <n v="0"/>
    <n v="0"/>
    <n v="0"/>
    <n v="0"/>
    <n v="-2.2967088950950263"/>
    <n v="-0.19910576361831067"/>
    <n v="0"/>
    <n v="0"/>
    <m/>
    <m/>
    <m/>
    <n v="0"/>
    <n v="0"/>
    <n v="0"/>
    <n v="-17.4417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26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15.51"/>
    <n v="15.51"/>
    <n v="15.51"/>
    <n v="15.51"/>
    <m/>
    <n v="72.13"/>
    <n v="119.97"/>
    <m/>
    <n v="2979.4709999999995"/>
    <n v="2979.4709999999995"/>
    <n v="2885.0151000000001"/>
    <n v="0"/>
    <n v="821.69723656330575"/>
    <n v="0"/>
    <n v="0"/>
    <n v="0"/>
    <n v="0"/>
    <n v="0"/>
    <n v="1860.7942983154348"/>
    <n v="0"/>
    <n v="0"/>
    <n v="0"/>
    <n v="0"/>
    <n v="0"/>
    <n v="145.95260384636447"/>
    <m/>
    <n v="13.03975320449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09867325018033"/>
    <n v="0"/>
    <n v="0"/>
    <n v="0"/>
    <n v="0"/>
    <n v="0"/>
    <m/>
    <m/>
    <m/>
    <m/>
    <m/>
    <m/>
    <m/>
    <m/>
    <m/>
    <n v="1998.8929715656152"/>
    <m/>
    <m/>
    <m/>
    <m/>
    <m/>
    <m/>
    <m/>
    <m/>
    <m/>
    <m/>
    <m/>
    <m/>
    <n v="2885.0151000000001"/>
    <n v="-94.485900000000129"/>
    <m/>
    <m/>
    <m/>
    <m/>
    <n v="-94.455899999999829"/>
    <n v="0"/>
    <n v="30"/>
    <n v="-94.520866121161362"/>
    <n v="0"/>
    <n v="0"/>
    <n v="0"/>
    <n v="0"/>
    <n v="0"/>
    <n v="0"/>
    <n v="0"/>
    <n v="0"/>
    <n v="0"/>
    <n v="0"/>
    <n v="0"/>
    <n v="0"/>
    <n v="0"/>
    <n v="0"/>
    <n v="0"/>
    <n v="0"/>
    <n v="-81.004774865349532"/>
    <m/>
    <n v="0"/>
    <n v="0"/>
    <n v="0"/>
    <n v="0"/>
    <n v="-12.437833436775065"/>
    <n v="-1.0782578190363132"/>
    <n v="0"/>
    <n v="0"/>
    <m/>
    <m/>
    <m/>
    <n v="0"/>
    <n v="0"/>
    <n v="0"/>
    <n v="-94.455899999999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27"/>
    <s v="Regular"/>
    <s v="Verde"/>
    <s v="A4"/>
    <s v="Industrial"/>
    <s v="Não se aplica"/>
    <s v="Não se aplica"/>
    <s v="Não se aplica"/>
    <s v="Não se aplica"/>
    <s v="CATIVO"/>
    <x v="7"/>
    <n v="10849"/>
    <n v="10849"/>
    <n v="0"/>
    <n v="0"/>
    <n v="0"/>
    <n v="0"/>
    <n v="46.29"/>
    <m/>
    <m/>
    <n v="502200.20999999996"/>
    <m/>
    <n v="502200.20999999996"/>
    <n v="446436.35"/>
    <n v="0"/>
    <n v="0"/>
    <n v="0"/>
    <n v="0"/>
    <n v="0"/>
    <n v="194338.27124027401"/>
    <n v="307823.323728467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24743.85"/>
    <n v="26"/>
    <m/>
    <m/>
    <m/>
    <m/>
    <m/>
    <m/>
    <m/>
    <m/>
    <m/>
    <n v="0"/>
    <m/>
    <m/>
    <m/>
    <m/>
    <m/>
    <m/>
    <m/>
    <m/>
    <m/>
    <m/>
    <m/>
    <m/>
    <n v="446436.35"/>
    <n v="-55763.890000000014"/>
    <m/>
    <m/>
    <m/>
    <m/>
    <n v="-55763.860000000008"/>
    <n v="0"/>
    <n v="30"/>
    <n v="-1039.744709200837"/>
    <n v="0"/>
    <n v="0"/>
    <n v="0"/>
    <n v="0"/>
    <m/>
    <m/>
    <m/>
    <n v="-1039.7447092008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7823.32372846798"/>
    <m/>
    <n v="0"/>
    <n v="0"/>
    <n v="-55763.859999999986"/>
    <m/>
    <n v="0"/>
    <m/>
    <n v="-54698.34778987910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228"/>
    <s v="Refaturamento - Regular"/>
    <s v="Verde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2706.7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229"/>
    <s v="Sistema de Compensação"/>
    <s v="Verde"/>
    <s v="A4"/>
    <s v="Industrial"/>
    <s v="Não se aplica"/>
    <s v="Não se aplica"/>
    <s v="Não se aplica"/>
    <s v="Não se aplica"/>
    <s v="CATIVO"/>
    <x v="7"/>
    <n v="100"/>
    <n v="100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213.8999999999996"/>
    <n v="1"/>
    <m/>
    <m/>
    <m/>
    <m/>
    <m/>
    <m/>
    <m/>
    <m/>
    <m/>
    <n v="0"/>
    <m/>
    <m/>
    <m/>
    <m/>
    <m/>
    <m/>
    <m/>
    <m/>
    <m/>
    <m/>
    <m/>
    <m/>
    <n v="4115"/>
    <n v="-514.03000000000065"/>
    <m/>
    <m/>
    <m/>
    <m/>
    <n v="-514"/>
    <n v="0"/>
    <n v="30"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230"/>
    <s v="Regular"/>
    <s v="Branca"/>
    <s v="B3"/>
    <s v="Industrial"/>
    <s v="Não se aplica"/>
    <s v="Não se aplica"/>
    <s v="Não se aplica"/>
    <s v="Ponta"/>
    <s v="CATIVO"/>
    <x v="7"/>
    <n v="0"/>
    <n v="0"/>
    <n v="0.10299999999999999"/>
    <n v="0.10299999999999999"/>
    <n v="0.10299999999999999"/>
    <n v="0.10299999999999999"/>
    <m/>
    <n v="2187.66"/>
    <n v="119.97"/>
    <m/>
    <n v="237.68588999999997"/>
    <n v="237.68588999999997"/>
    <n v="205.06784999999999"/>
    <n v="0"/>
    <n v="6.272172596546576"/>
    <n v="0"/>
    <n v="0"/>
    <n v="0"/>
    <n v="37.656453383424484"/>
    <n v="178.378885109717"/>
    <n v="12.357305785073486"/>
    <n v="0"/>
    <n v="0"/>
    <n v="0"/>
    <n v="0"/>
    <n v="0"/>
    <n v="0.9692532686122205"/>
    <m/>
    <n v="0.221583771374305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305585911624134"/>
    <n v="0"/>
    <n v="0"/>
    <n v="0"/>
    <n v="0"/>
    <n v="0"/>
    <m/>
    <m/>
    <m/>
    <m/>
    <m/>
    <m/>
    <m/>
    <m/>
    <m/>
    <n v="14.187864376235899"/>
    <m/>
    <m/>
    <m/>
    <m/>
    <m/>
    <m/>
    <m/>
    <m/>
    <m/>
    <m/>
    <m/>
    <m/>
    <n v="199.09500000000003"/>
    <n v="-38.620889999999918"/>
    <m/>
    <m/>
    <m/>
    <m/>
    <n v="-32.618039999999979"/>
    <n v="0"/>
    <n v="30"/>
    <n v="-0.92071467433465415"/>
    <n v="0"/>
    <n v="0"/>
    <n v="0"/>
    <n v="0"/>
    <n v="0"/>
    <n v="0"/>
    <n v="0"/>
    <n v="-0.20146879934046069"/>
    <n v="0"/>
    <n v="0"/>
    <n v="0"/>
    <n v="0"/>
    <n v="0"/>
    <n v="0"/>
    <n v="0"/>
    <n v="0"/>
    <n v="-0.61832498211247167"/>
    <m/>
    <n v="0"/>
    <n v="0"/>
    <n v="0"/>
    <n v="0"/>
    <n v="-8.2598120179744217E-2"/>
    <n v="-1.8322772701980877E-2"/>
    <n v="0"/>
    <n v="0"/>
    <m/>
    <m/>
    <m/>
    <n v="178.378885109717"/>
    <n v="0"/>
    <n v="0"/>
    <n v="-32.618039999999979"/>
    <n v="0"/>
    <n v="0"/>
    <n v="0"/>
    <n v="-31.696851875684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31"/>
    <s v="Regular"/>
    <s v="Branca"/>
    <s v="B3"/>
    <s v="Industrial"/>
    <s v="Não se aplica"/>
    <s v="Não se aplica"/>
    <s v="Não se aplica"/>
    <s v="Fora ponta"/>
    <s v="CATIVO"/>
    <x v="7"/>
    <n v="0"/>
    <n v="0"/>
    <n v="29.988"/>
    <n v="29.988"/>
    <n v="29.988"/>
    <n v="29.988"/>
    <m/>
    <n v="509.72"/>
    <n v="119.97"/>
    <m/>
    <n v="18883.14372"/>
    <n v="18883.14372"/>
    <n v="16816.070879999999"/>
    <n v="0"/>
    <n v="1826.1156487887256"/>
    <n v="0"/>
    <n v="0"/>
    <n v="0"/>
    <n v="2192.7023768196736"/>
    <n v="10386.855136299375"/>
    <n v="3597.7755910949877"/>
    <n v="0"/>
    <n v="0"/>
    <n v="0"/>
    <n v="0"/>
    <n v="0"/>
    <n v="282.19385455478903"/>
    <m/>
    <n v="64.513146951191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2.9591362308588"/>
    <n v="0"/>
    <n v="0"/>
    <n v="0"/>
    <n v="0"/>
    <n v="0"/>
    <m/>
    <m/>
    <m/>
    <m/>
    <m/>
    <m/>
    <m/>
    <m/>
    <m/>
    <n v="4130.7347273258465"/>
    <m/>
    <m/>
    <m/>
    <m/>
    <m/>
    <m/>
    <m/>
    <m/>
    <m/>
    <m/>
    <m/>
    <m/>
    <n v="16817.1924"/>
    <n v="-2065.981319999999"/>
    <m/>
    <m/>
    <m/>
    <m/>
    <n v="-2067.0728400000003"/>
    <n v="0"/>
    <n v="30"/>
    <n v="-221.13664631310712"/>
    <n v="0"/>
    <n v="0"/>
    <n v="0"/>
    <n v="0"/>
    <n v="0"/>
    <n v="0"/>
    <n v="0"/>
    <n v="-11.731352144893663"/>
    <n v="0"/>
    <n v="0"/>
    <n v="0"/>
    <n v="0"/>
    <n v="0"/>
    <n v="0"/>
    <n v="0"/>
    <n v="0"/>
    <n v="-180.02261712222139"/>
    <m/>
    <n v="0"/>
    <n v="0"/>
    <n v="0"/>
    <n v="0"/>
    <n v="-24.048081824758924"/>
    <n v="-5.3345952212330232"/>
    <n v="0"/>
    <n v="0"/>
    <m/>
    <m/>
    <m/>
    <n v="10386.855136299375"/>
    <n v="0"/>
    <n v="0"/>
    <n v="-2067.0728399999989"/>
    <n v="0"/>
    <n v="0"/>
    <n v="0"/>
    <n v="-1845.6815026451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32"/>
    <s v="Regular"/>
    <s v="Branca"/>
    <s v="B3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728.28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233"/>
    <s v="Sistema de Compensação"/>
    <s v="Branca"/>
    <s v="B3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41.089999999999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234"/>
    <s v="Regular"/>
    <s v="Branca"/>
    <s v="B3"/>
    <s v="Industrial"/>
    <s v="Não se aplica"/>
    <s v="Não se aplica"/>
    <s v="Não se aplica"/>
    <s v="Intermediário"/>
    <s v="CATIVO"/>
    <x v="7"/>
    <n v="0"/>
    <n v="0"/>
    <n v="0.22600000000000001"/>
    <n v="0.22600000000000001"/>
    <n v="0.22600000000000001"/>
    <n v="0.22600000000000001"/>
    <m/>
    <n v="1348.63"/>
    <n v="119.97"/>
    <m/>
    <n v="331.90360000000004"/>
    <n v="331.90360000000004"/>
    <n v="288.33080000000001"/>
    <n v="0"/>
    <n v="13.762242784655594"/>
    <n v="0"/>
    <n v="0"/>
    <n v="0"/>
    <n v="49.561086814809194"/>
    <n v="234.83664675710156"/>
    <n v="27.114088421617556"/>
    <n v="0"/>
    <n v="0"/>
    <n v="0"/>
    <n v="0"/>
    <n v="0"/>
    <n v="2.1267110554015716"/>
    <m/>
    <n v="0.48619351777274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165654524534515"/>
    <n v="0"/>
    <n v="0"/>
    <n v="0"/>
    <n v="0"/>
    <n v="0"/>
    <m/>
    <m/>
    <m/>
    <m/>
    <m/>
    <m/>
    <m/>
    <m/>
    <m/>
    <n v="31.130653874071008"/>
    <m/>
    <m/>
    <m/>
    <m/>
    <m/>
    <m/>
    <m/>
    <m/>
    <m/>
    <m/>
    <m/>
    <m/>
    <n v="293.43399999999997"/>
    <n v="-38.499600000000044"/>
    <m/>
    <m/>
    <m/>
    <m/>
    <n v="-43.572800000000043"/>
    <n v="0"/>
    <n v="30"/>
    <n v="-1.8433118728253248"/>
    <n v="0"/>
    <n v="0"/>
    <n v="0"/>
    <n v="0"/>
    <n v="0"/>
    <n v="0"/>
    <n v="0"/>
    <n v="-0.26516072963417514"/>
    <n v="0"/>
    <n v="0"/>
    <n v="0"/>
    <n v="0"/>
    <n v="0"/>
    <n v="0"/>
    <n v="0"/>
    <n v="0"/>
    <n v="-1.3567130675477532"/>
    <m/>
    <n v="0"/>
    <n v="0"/>
    <n v="0"/>
    <n v="0"/>
    <n v="-0.18123471029730309"/>
    <n v="-4.0203365346093922E-2"/>
    <n v="0"/>
    <n v="0"/>
    <m/>
    <m/>
    <m/>
    <n v="234.83664675710156"/>
    <n v="0"/>
    <n v="0"/>
    <n v="-43.572800000000029"/>
    <n v="0"/>
    <n v="0"/>
    <n v="0"/>
    <n v="-41.729055558700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35"/>
    <s v="Regular"/>
    <s v="Convencional"/>
    <s v="B3"/>
    <s v="Comercial"/>
    <s v="Não se aplica"/>
    <s v="Não se aplica"/>
    <s v="Não se aplica"/>
    <s v="Não se aplica"/>
    <s v="CATIVO"/>
    <x v="7"/>
    <n v="0"/>
    <n v="0"/>
    <n v="86.762"/>
    <n v="86.762"/>
    <n v="86.762"/>
    <n v="86.762"/>
    <m/>
    <n v="707.13"/>
    <n v="119.97"/>
    <m/>
    <n v="71760.850200000001"/>
    <n v="71760.850200000001"/>
    <n v="63252.100859999991"/>
    <n v="0"/>
    <n v="5283.3615419570297"/>
    <n v="0"/>
    <n v="0"/>
    <n v="0"/>
    <n v="9330.3170076115402"/>
    <n v="44193.348151971135"/>
    <n v="10409.170529364523"/>
    <n v="0"/>
    <n v="0"/>
    <n v="0"/>
    <n v="0"/>
    <n v="0"/>
    <n v="816.45002030420858"/>
    <m/>
    <n v="186.650982252208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1.9701406449838"/>
    <n v="0"/>
    <n v="0"/>
    <n v="0"/>
    <n v="22381"/>
    <n v="265"/>
    <m/>
    <m/>
    <m/>
    <m/>
    <m/>
    <m/>
    <m/>
    <m/>
    <m/>
    <n v="11951.140670009507"/>
    <m/>
    <m/>
    <m/>
    <m/>
    <m/>
    <m/>
    <m/>
    <m/>
    <m/>
    <m/>
    <m/>
    <m/>
    <n v="63250.642800000001"/>
    <n v="-8510.2373999999982"/>
    <m/>
    <m/>
    <m/>
    <m/>
    <n v="-8508.7493400000039"/>
    <n v="0"/>
    <n v="30"/>
    <n v="-655.77528800483924"/>
    <n v="0"/>
    <n v="0"/>
    <n v="0"/>
    <n v="0"/>
    <n v="0"/>
    <n v="0"/>
    <n v="0"/>
    <n v="-49.918874351964405"/>
    <n v="0"/>
    <n v="0"/>
    <n v="0"/>
    <n v="0"/>
    <n v="0"/>
    <n v="0"/>
    <n v="0"/>
    <n v="0"/>
    <n v="-520.84574852468177"/>
    <m/>
    <n v="0"/>
    <n v="0"/>
    <n v="0"/>
    <n v="0"/>
    <n v="-69.576486437232688"/>
    <n v="-15.434178690963705"/>
    <n v="0"/>
    <n v="0"/>
    <m/>
    <m/>
    <m/>
    <n v="44193.348151971135"/>
    <n v="0"/>
    <n v="0"/>
    <n v="-8508.7493400000021"/>
    <n v="0"/>
    <n v="0"/>
    <n v="0"/>
    <n v="-7852.8913856704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36"/>
    <s v="Refaturamento - Regular"/>
    <s v="Convencional"/>
    <s v="B3"/>
    <s v="Comercial"/>
    <s v="Não se aplica"/>
    <s v="Não se aplica"/>
    <s v="Não se aplica"/>
    <s v="Não se aplica"/>
    <s v="CATIVO"/>
    <x v="7"/>
    <n v="0"/>
    <n v="0"/>
    <n v="-0.32900000000000001"/>
    <n v="-0.32900000000000001"/>
    <n v="-0.32900000000000001"/>
    <n v="-0.32900000000000001"/>
    <m/>
    <n v="707.13"/>
    <n v="119.97"/>
    <m/>
    <n v="-272.11590000000001"/>
    <n v="-272.11590000000001"/>
    <n v="-239.85087000000001"/>
    <n v="0"/>
    <n v="-20.034415381202173"/>
    <n v="0"/>
    <n v="0"/>
    <n v="0"/>
    <n v="-35.380400353889918"/>
    <n v="-167.58041011039975"/>
    <n v="-39.471394206691045"/>
    <n v="0"/>
    <n v="0"/>
    <n v="0"/>
    <n v="0"/>
    <n v="0"/>
    <n v="-3.0959643240137922"/>
    <m/>
    <n v="-0.70777728914705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.8471240436158647"/>
    <n v="0"/>
    <n v="0"/>
    <n v="0"/>
    <n v="-89.56"/>
    <n v="0"/>
    <m/>
    <m/>
    <m/>
    <m/>
    <m/>
    <m/>
    <m/>
    <m/>
    <m/>
    <n v="-45.318518250306909"/>
    <m/>
    <m/>
    <m/>
    <m/>
    <m/>
    <m/>
    <m/>
    <m/>
    <m/>
    <m/>
    <m/>
    <m/>
    <n v="-240.57990000000001"/>
    <n v="31.506000000000029"/>
    <m/>
    <m/>
    <m/>
    <m/>
    <n v="32.265030000000017"/>
    <n v="0"/>
    <n v="30"/>
    <n v="2.4866885243954187"/>
    <n v="0"/>
    <n v="0"/>
    <n v="0"/>
    <n v="0"/>
    <n v="0"/>
    <n v="0"/>
    <n v="0"/>
    <n v="0.18929150621005419"/>
    <n v="0"/>
    <n v="0"/>
    <n v="0"/>
    <n v="0"/>
    <n v="0"/>
    <n v="0"/>
    <n v="0"/>
    <n v="0"/>
    <n v="1.9750380496602276"/>
    <m/>
    <n v="0"/>
    <n v="0"/>
    <n v="0"/>
    <n v="0"/>
    <n v="0.26383283047704742"/>
    <n v="5.8526138048074716E-2"/>
    <n v="0"/>
    <n v="0"/>
    <m/>
    <m/>
    <m/>
    <n v="-167.58041011039975"/>
    <n v="0"/>
    <n v="0"/>
    <n v="32.265029999999996"/>
    <n v="0"/>
    <n v="0"/>
    <n v="0"/>
    <n v="29.77802800633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37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11.178000000000001"/>
    <n v="11.178000000000001"/>
    <n v="11.178000000000001"/>
    <n v="11.178000000000001"/>
    <m/>
    <n v="707.13"/>
    <n v="119.97"/>
    <m/>
    <n v="9245.3238000000001"/>
    <n v="9245.3238000000001"/>
    <n v="8149.0973400000003"/>
    <n v="0"/>
    <n v="680.68296392424884"/>
    <n v="0"/>
    <n v="0"/>
    <n v="0"/>
    <n v="1202.0732983458404"/>
    <n v="5693.6590401642807"/>
    <n v="1341.0676122869072"/>
    <n v="0"/>
    <n v="0"/>
    <n v="0"/>
    <n v="0"/>
    <n v="0"/>
    <n v="105.18750520919808"/>
    <m/>
    <n v="24.0472174409901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.66003817488797"/>
    <n v="0"/>
    <n v="0"/>
    <n v="0"/>
    <n v="5596.24"/>
    <n v="8"/>
    <m/>
    <m/>
    <m/>
    <m/>
    <m/>
    <m/>
    <m/>
    <m/>
    <m/>
    <n v="1539.7276504617953"/>
    <m/>
    <m/>
    <m/>
    <m/>
    <m/>
    <m/>
    <m/>
    <m/>
    <m/>
    <m/>
    <m/>
    <m/>
    <n v="8150.5553999999993"/>
    <n v="-1094.7984000000015"/>
    <m/>
    <m/>
    <m/>
    <m/>
    <n v="-1096.2264600000005"/>
    <n v="0"/>
    <n v="30"/>
    <n v="-84.486943239185166"/>
    <n v="0"/>
    <n v="0"/>
    <n v="0"/>
    <n v="0"/>
    <n v="0"/>
    <n v="0"/>
    <n v="0"/>
    <n v="-6.4313083781639762"/>
    <n v="0"/>
    <n v="0"/>
    <n v="0"/>
    <n v="0"/>
    <n v="0"/>
    <n v="0"/>
    <n v="0"/>
    <n v="0"/>
    <n v="-67.103268447118467"/>
    <m/>
    <n v="0"/>
    <n v="0"/>
    <n v="0"/>
    <n v="0"/>
    <n v="-8.963900848244478"/>
    <n v="-1.9884655656576911"/>
    <n v="0"/>
    <n v="0"/>
    <m/>
    <m/>
    <m/>
    <n v="5693.6590401642807"/>
    <n v="0"/>
    <n v="0"/>
    <n v="-1096.2264599999999"/>
    <n v="0"/>
    <n v="0"/>
    <n v="0"/>
    <n v="-1011.7288664279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38"/>
    <s v="Regular"/>
    <s v="Convencional"/>
    <s v="B2"/>
    <s v="Rural"/>
    <s v="Não se aplica"/>
    <s v="Não se aplica"/>
    <s v="Não se aplica"/>
    <s v="Não se aplica"/>
    <s v="CATIVO"/>
    <x v="7"/>
    <n v="0"/>
    <n v="0"/>
    <n v="243.8"/>
    <n v="243.8"/>
    <n v="243.8"/>
    <n v="243.8"/>
    <m/>
    <n v="707.13"/>
    <n v="119.97"/>
    <m/>
    <n v="201646.97999999998"/>
    <n v="201646.97999999998"/>
    <n v="177737.51399999997"/>
    <n v="0"/>
    <n v="14846.171641146169"/>
    <n v="0"/>
    <n v="0"/>
    <n v="0"/>
    <n v="26218.05959355125"/>
    <n v="124182.68688424151"/>
    <n v="29249.622819426371"/>
    <n v="0"/>
    <n v="0"/>
    <n v="0"/>
    <n v="0"/>
    <n v="0"/>
    <n v="2294.2130765792172"/>
    <m/>
    <n v="524.48663554423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32.9144128679263"/>
    <n v="0"/>
    <n v="0"/>
    <n v="0"/>
    <n v="35289.949999999997"/>
    <n v="705"/>
    <m/>
    <m/>
    <m/>
    <m/>
    <m/>
    <n v="21327.623999999982"/>
    <m/>
    <m/>
    <m/>
    <n v="33582.5372322943"/>
    <m/>
    <m/>
    <m/>
    <m/>
    <m/>
    <m/>
    <m/>
    <m/>
    <m/>
    <m/>
    <m/>
    <m/>
    <n v="156409.89000000001"/>
    <n v="-21042.408000000025"/>
    <m/>
    <m/>
    <m/>
    <m/>
    <n v="-23909.466000000015"/>
    <n v="0"/>
    <n v="30"/>
    <n v="-1842.7193381386023"/>
    <n v="0"/>
    <n v="0"/>
    <n v="0"/>
    <n v="0"/>
    <n v="0"/>
    <n v="0"/>
    <n v="0"/>
    <n v="-140.27133499699266"/>
    <n v="0"/>
    <n v="0"/>
    <n v="0"/>
    <n v="0"/>
    <n v="0"/>
    <n v="0"/>
    <n v="0"/>
    <n v="0"/>
    <n v="-1463.5692295050558"/>
    <m/>
    <n v="0"/>
    <n v="0"/>
    <n v="0"/>
    <n v="0"/>
    <n v="-195.50894854195758"/>
    <n v="-43.36982509459159"/>
    <n v="0"/>
    <n v="0"/>
    <m/>
    <m/>
    <m/>
    <n v="124182.68688424151"/>
    <n v="0"/>
    <n v="0"/>
    <n v="-23909.466000000015"/>
    <n v="0"/>
    <n v="0"/>
    <n v="0"/>
    <n v="-22066.514370651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39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17.763999999999999"/>
    <n v="17.763999999999999"/>
    <n v="17.763999999999999"/>
    <n v="17.763999999999999"/>
    <m/>
    <n v="707.13"/>
    <n v="119.97"/>
    <m/>
    <n v="14692.6044"/>
    <n v="14692.6044"/>
    <n v="12950.48892"/>
    <n v="0"/>
    <n v="1081.736640825761"/>
    <n v="0"/>
    <n v="0"/>
    <n v="0"/>
    <n v="1910.3265406884511"/>
    <n v="9048.3234200642582"/>
    <n v="2131.215339476169"/>
    <n v="0"/>
    <n v="0"/>
    <n v="0"/>
    <n v="0"/>
    <n v="0"/>
    <n v="167.16325304492705"/>
    <m/>
    <n v="38.215671016438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5.7091535282438"/>
    <n v="0"/>
    <n v="0"/>
    <n v="0"/>
    <n v="7133.24"/>
    <n v="13"/>
    <m/>
    <m/>
    <m/>
    <m/>
    <m/>
    <n v="1553.9947199999983"/>
    <m/>
    <m/>
    <m/>
    <n v="2446.9244930044129"/>
    <m/>
    <m/>
    <m/>
    <m/>
    <m/>
    <m/>
    <m/>
    <m/>
    <m/>
    <m/>
    <m/>
    <m/>
    <n v="11393.928000000002"/>
    <n v="-1535.8070399999979"/>
    <m/>
    <m/>
    <m/>
    <m/>
    <n v="-1742.1154800000008"/>
    <n v="0"/>
    <n v="30"/>
    <n v="-134.26606366978649"/>
    <n v="0"/>
    <n v="0"/>
    <n v="0"/>
    <n v="0"/>
    <n v="0"/>
    <n v="0"/>
    <n v="0"/>
    <n v="-10.220590627098318"/>
    <n v="0"/>
    <n v="0"/>
    <n v="0"/>
    <n v="0"/>
    <n v="0"/>
    <n v="0"/>
    <n v="0"/>
    <n v="0"/>
    <n v="-106.64004837131995"/>
    <m/>
    <n v="0"/>
    <n v="0"/>
    <n v="0"/>
    <n v="0"/>
    <n v="-14.245368998766764"/>
    <n v="-3.1600556726018212"/>
    <n v="0"/>
    <n v="0"/>
    <m/>
    <m/>
    <m/>
    <n v="9048.3234200642582"/>
    <n v="0"/>
    <n v="0"/>
    <n v="-1742.1154800000004"/>
    <n v="0"/>
    <n v="0"/>
    <n v="0"/>
    <n v="-1607.832490895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40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-1.169"/>
    <n v="-1.169"/>
    <n v="-1.169"/>
    <n v="-1.169"/>
    <m/>
    <n v="707.13"/>
    <n v="119.97"/>
    <m/>
    <n v="-966.87990000000013"/>
    <n v="-966.87990000000013"/>
    <n v="-852.23606999999993"/>
    <n v="0"/>
    <n v="-71.186114226824742"/>
    <n v="0"/>
    <n v="0"/>
    <n v="0"/>
    <n v="-125.7133374276514"/>
    <n v="-595.44528698801616"/>
    <n v="-140.24942196845541"/>
    <n v="0"/>
    <n v="0"/>
    <n v="0"/>
    <n v="0"/>
    <n v="0"/>
    <n v="-11.000554087453262"/>
    <m/>
    <n v="-2.514868240160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0.775951389018072"/>
    <n v="0"/>
    <n v="0"/>
    <n v="0"/>
    <n v="-312.58"/>
    <n v="2"/>
    <m/>
    <m/>
    <m/>
    <m/>
    <m/>
    <n v="-102.26411999999991"/>
    <m/>
    <m/>
    <m/>
    <n v="-161.02537335747348"/>
    <m/>
    <m/>
    <m/>
    <m/>
    <m/>
    <m/>
    <m/>
    <m/>
    <m/>
    <m/>
    <m/>
    <m/>
    <n v="-750.61349999999993"/>
    <n v="100.22484000000009"/>
    <m/>
    <m/>
    <m/>
    <m/>
    <n v="114.64383000000007"/>
    <n v="0"/>
    <n v="30"/>
    <n v="8.8356805015751547"/>
    <n v="0"/>
    <n v="0"/>
    <n v="0"/>
    <n v="0"/>
    <n v="0"/>
    <n v="0"/>
    <n v="0"/>
    <n v="0.67258896887400965"/>
    <n v="0"/>
    <n v="0"/>
    <n v="0"/>
    <n v="0"/>
    <n v="0"/>
    <n v="0"/>
    <n v="0"/>
    <n v="0"/>
    <n v="7.0176883892182502"/>
    <m/>
    <n v="0"/>
    <n v="0"/>
    <n v="0"/>
    <n v="0"/>
    <n v="0.93744856786525332"/>
    <n v="0.20795457561762731"/>
    <n v="0"/>
    <n v="0"/>
    <m/>
    <m/>
    <m/>
    <n v="-595.44528698801616"/>
    <n v="0"/>
    <n v="0"/>
    <n v="114.64383000000009"/>
    <n v="0"/>
    <n v="0"/>
    <n v="0"/>
    <n v="105.80703568208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41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5.792000000000002"/>
    <n v="25.792000000000002"/>
    <n v="25.792000000000002"/>
    <n v="25.792000000000002"/>
    <m/>
    <n v="707.13"/>
    <n v="119.97"/>
    <m/>
    <n v="21332.563200000001"/>
    <n v="21332.563200000001"/>
    <n v="18803.141759999999"/>
    <n v="0"/>
    <n v="1570.6007340789254"/>
    <n v="0"/>
    <n v="0"/>
    <n v="0"/>
    <n v="2773.651325007686"/>
    <n v="13137.489171937479"/>
    <n v="3094.36534765646"/>
    <n v="0"/>
    <n v="0"/>
    <n v="0"/>
    <n v="0"/>
    <n v="0"/>
    <n v="242.70854664122714"/>
    <m/>
    <n v="55.486297391127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8.38608915787353"/>
    <n v="0"/>
    <n v="0"/>
    <n v="0"/>
    <n v="6731.35"/>
    <n v="83"/>
    <m/>
    <m/>
    <m/>
    <m/>
    <m/>
    <m/>
    <m/>
    <m/>
    <m/>
    <n v="3552.7514368143334"/>
    <m/>
    <m/>
    <m/>
    <m/>
    <m/>
    <m/>
    <m/>
    <m/>
    <m/>
    <m/>
    <m/>
    <m/>
    <n v="18801.683699999998"/>
    <n v="-2530.9094999999979"/>
    <m/>
    <m/>
    <m/>
    <m/>
    <n v="-2529.4214400000014"/>
    <n v="0"/>
    <n v="30"/>
    <n v="-194.94428699454693"/>
    <n v="0"/>
    <n v="0"/>
    <n v="0"/>
    <n v="0"/>
    <n v="0"/>
    <n v="0"/>
    <n v="0"/>
    <n v="-14.839533520272198"/>
    <n v="0"/>
    <n v="0"/>
    <n v="0"/>
    <n v="0"/>
    <n v="0"/>
    <n v="0"/>
    <n v="0"/>
    <n v="0"/>
    <n v="-154.83337804509597"/>
    <m/>
    <n v="0"/>
    <n v="0"/>
    <n v="0"/>
    <n v="0"/>
    <n v="-20.683210831805496"/>
    <n v="-4.5881645973736909"/>
    <n v="0"/>
    <n v="0"/>
    <m/>
    <m/>
    <m/>
    <n v="13137.489171937479"/>
    <n v="0"/>
    <n v="0"/>
    <n v="-2529.4214400000001"/>
    <n v="0"/>
    <n v="0"/>
    <n v="0"/>
    <n v="-2334.452578539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42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84.697999999999993"/>
    <n v="84.697999999999993"/>
    <n v="84.697999999999993"/>
    <n v="84.697999999999993"/>
    <m/>
    <n v="388.92"/>
    <n v="65.989999999999995"/>
    <m/>
    <n v="38529.967179999992"/>
    <n v="38529.967179999992"/>
    <n v="33961.357059999995"/>
    <n v="0"/>
    <n v="2836.7209807792856"/>
    <n v="0"/>
    <n v="0"/>
    <n v="0"/>
    <n v="5009.5958420838015"/>
    <n v="23728.112664260949"/>
    <n v="5588.8494850610123"/>
    <n v="0"/>
    <n v="0"/>
    <n v="0"/>
    <n v="0"/>
    <n v="0"/>
    <n v="438.36502271558072"/>
    <m/>
    <n v="100.21588589634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7.90833354223957"/>
    <n v="0"/>
    <n v="0"/>
    <n v="0"/>
    <n v="14014.32"/>
    <n v="2"/>
    <m/>
    <m/>
    <m/>
    <m/>
    <m/>
    <m/>
    <m/>
    <m/>
    <m/>
    <n v="6416.7578186032515"/>
    <m/>
    <m/>
    <m/>
    <m/>
    <m/>
    <m/>
    <m/>
    <m/>
    <m/>
    <m/>
    <m/>
    <m/>
    <n v="33962.159000000007"/>
    <n v="-4567.8381799999916"/>
    <m/>
    <m/>
    <m/>
    <m/>
    <n v="-4568.6101199999994"/>
    <n v="0"/>
    <n v="30"/>
    <n v="-352.09619924494655"/>
    <n v="0"/>
    <n v="0"/>
    <n v="0"/>
    <n v="0"/>
    <n v="0"/>
    <n v="0"/>
    <n v="0"/>
    <n v="-26.802238894049879"/>
    <n v="0"/>
    <n v="0"/>
    <n v="0"/>
    <n v="0"/>
    <n v="0"/>
    <n v="0"/>
    <n v="0"/>
    <n v="0"/>
    <n v="-279.65037994397471"/>
    <m/>
    <n v="0"/>
    <n v="0"/>
    <n v="0"/>
    <n v="0"/>
    <n v="-37.35672398680714"/>
    <n v="-8.2868564201149866"/>
    <n v="0"/>
    <n v="0"/>
    <m/>
    <m/>
    <m/>
    <n v="23728.112664260949"/>
    <n v="0"/>
    <n v="0"/>
    <n v="-4568.6101199999976"/>
    <n v="0"/>
    <n v="0"/>
    <n v="0"/>
    <n v="-4216.342488888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43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4.95"/>
    <n v="4.6529999999999996"/>
    <n v="4.95"/>
    <n v="4.6529999999999996"/>
    <m/>
    <n v="707.13"/>
    <n v="119.97"/>
    <m/>
    <n v="4094.1450000000004"/>
    <n v="4094.1450000000004"/>
    <n v="3608.6984999999995"/>
    <n v="0"/>
    <n v="301.42965391170441"/>
    <n v="0"/>
    <n v="0"/>
    <n v="0"/>
    <n v="532.31909347038015"/>
    <n v="2521.3465958859538"/>
    <n v="593.87052073896859"/>
    <n v="0"/>
    <n v="0"/>
    <n v="0"/>
    <n v="0"/>
    <n v="0"/>
    <n v="46.580618248839727"/>
    <m/>
    <n v="10.648928818473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973446856834443"/>
    <n v="0"/>
    <n v="0"/>
    <n v="0"/>
    <n v="1283.42"/>
    <n v="7"/>
    <m/>
    <m/>
    <m/>
    <m/>
    <n v="216.52191000000045"/>
    <m/>
    <m/>
    <m/>
    <m/>
    <n v="681.84396759580306"/>
    <m/>
    <m/>
    <m/>
    <m/>
    <m/>
    <m/>
    <m/>
    <m/>
    <m/>
    <m/>
    <m/>
    <m/>
    <n v="3389.9894999999997"/>
    <n v="-458.53680000000077"/>
    <m/>
    <m/>
    <m/>
    <m/>
    <n v="-485.44650000000024"/>
    <n v="0"/>
    <n v="30"/>
    <n v="-37.413702722666585"/>
    <n v="0"/>
    <n v="0"/>
    <n v="0"/>
    <n v="0"/>
    <n v="0"/>
    <n v="0"/>
    <n v="0"/>
    <n v="-2.8480029049840141"/>
    <n v="0"/>
    <n v="0"/>
    <n v="0"/>
    <n v="0"/>
    <n v="0"/>
    <n v="0"/>
    <n v="0"/>
    <n v="0"/>
    <n v="-29.7156180723955"/>
    <m/>
    <n v="0"/>
    <n v="0"/>
    <n v="0"/>
    <n v="0"/>
    <n v="-3.969521309609064"/>
    <n v="-0.88056043567772058"/>
    <n v="0"/>
    <n v="0"/>
    <m/>
    <m/>
    <m/>
    <n v="2521.3465958859538"/>
    <n v="0"/>
    <n v="0"/>
    <n v="-485.44650000000047"/>
    <n v="0"/>
    <n v="0"/>
    <n v="0"/>
    <n v="-448.02808094636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44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3.347"/>
    <n v="3.1461800000000002"/>
    <n v="3.347"/>
    <n v="3.1461800000000002"/>
    <m/>
    <n v="3312.96"/>
    <n v="119.97"/>
    <m/>
    <n v="11490.01671"/>
    <n v="11490.01671"/>
    <n v="9973.4240700000009"/>
    <n v="0"/>
    <n v="177.31919089473786"/>
    <n v="0"/>
    <n v="0"/>
    <n v="0"/>
    <n v="2502.347748029807"/>
    <n v="8344.7096439411234"/>
    <n v="401.55245109360158"/>
    <n v="0"/>
    <n v="0"/>
    <n v="0"/>
    <n v="0"/>
    <n v="0"/>
    <n v="31.49602611694274"/>
    <m/>
    <n v="2.8139299790746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801177264239428"/>
    <n v="0"/>
    <n v="0"/>
    <n v="0"/>
    <n v="0"/>
    <n v="0"/>
    <m/>
    <m/>
    <m/>
    <m/>
    <n v="598.40544419999935"/>
    <m/>
    <m/>
    <m/>
    <m/>
    <n v="431.35362835784099"/>
    <m/>
    <m/>
    <m/>
    <m/>
    <m/>
    <m/>
    <m/>
    <m/>
    <m/>
    <m/>
    <m/>
    <m/>
    <n v="9386.4015000000018"/>
    <n v="-1414.244207400001"/>
    <m/>
    <m/>
    <m/>
    <m/>
    <n v="-1516.5926399999996"/>
    <n v="0"/>
    <n v="30"/>
    <n v="-33.785260026674678"/>
    <n v="0"/>
    <n v="0"/>
    <n v="0"/>
    <n v="0"/>
    <n v="0"/>
    <n v="0"/>
    <n v="0"/>
    <n v="-13.388010580670198"/>
    <n v="0"/>
    <n v="0"/>
    <n v="0"/>
    <n v="0"/>
    <n v="0"/>
    <n v="0"/>
    <n v="0"/>
    <n v="0"/>
    <n v="-17.480527496732719"/>
    <m/>
    <n v="0"/>
    <n v="0"/>
    <n v="0"/>
    <n v="0"/>
    <n v="-2.6840379440932445"/>
    <n v="-0.23268400517824217"/>
    <n v="0"/>
    <n v="0"/>
    <m/>
    <m/>
    <m/>
    <n v="8344.7096439411234"/>
    <n v="0"/>
    <n v="0"/>
    <n v="-1516.5926399999989"/>
    <n v="0"/>
    <n v="0"/>
    <n v="0"/>
    <n v="-1482.8045671824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45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32.734999999999999"/>
    <n v="30.770900000000001"/>
    <n v="32.734999999999999"/>
    <n v="30.770900000000001"/>
    <m/>
    <n v="72.13"/>
    <n v="119.97"/>
    <m/>
    <n v="6288.3935000000001"/>
    <n v="6288.3935000000001"/>
    <n v="6089.0373500000005"/>
    <n v="0"/>
    <n v="1734.2526782011485"/>
    <n v="0"/>
    <n v="0"/>
    <n v="0"/>
    <n v="0"/>
    <n v="0"/>
    <n v="3927.3437366444718"/>
    <n v="0"/>
    <n v="0"/>
    <n v="0"/>
    <n v="0"/>
    <n v="0"/>
    <n v="308.04374512641789"/>
    <m/>
    <n v="27.5213617762199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.46744479978418"/>
    <n v="0"/>
    <n v="0"/>
    <n v="0"/>
    <n v="0"/>
    <n v="0"/>
    <m/>
    <m/>
    <m/>
    <m/>
    <n v="365.34224099999972"/>
    <m/>
    <m/>
    <m/>
    <m/>
    <n v="4218.8111814442564"/>
    <m/>
    <m/>
    <m/>
    <m/>
    <m/>
    <m/>
    <m/>
    <m/>
    <m/>
    <m/>
    <m/>
    <m/>
    <n v="5723.5277000000006"/>
    <n v="-187.5921900000003"/>
    <m/>
    <m/>
    <m/>
    <m/>
    <n v="-199.35614999999964"/>
    <n v="0"/>
    <n v="30"/>
    <n v="-199.49326579472745"/>
    <n v="0"/>
    <n v="0"/>
    <n v="0"/>
    <n v="0"/>
    <n v="0"/>
    <n v="0"/>
    <n v="0"/>
    <n v="0"/>
    <n v="0"/>
    <n v="0"/>
    <n v="0"/>
    <n v="0"/>
    <n v="0"/>
    <n v="0"/>
    <n v="0"/>
    <n v="0"/>
    <n v="-170.96655739633889"/>
    <m/>
    <n v="0"/>
    <n v="0"/>
    <n v="0"/>
    <n v="0"/>
    <n v="-26.25096567071779"/>
    <n v="-2.2757427276694848"/>
    <n v="0"/>
    <n v="0"/>
    <m/>
    <m/>
    <m/>
    <n v="0"/>
    <n v="0"/>
    <n v="0"/>
    <n v="-199.35614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46"/>
    <s v="Regular"/>
    <s v="Verde"/>
    <s v="A4"/>
    <s v="Serviço público"/>
    <s v="Água, esgoto e saneamento"/>
    <s v="Não se aplica"/>
    <s v="Não se aplica"/>
    <s v="Não se aplica"/>
    <s v="CATIVO"/>
    <x v="7"/>
    <n v="100"/>
    <n v="94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176.16"/>
    <n v="1"/>
    <m/>
    <m/>
    <m/>
    <m/>
    <n v="246.89999999999998"/>
    <m/>
    <m/>
    <m/>
    <m/>
    <n v="0"/>
    <m/>
    <m/>
    <m/>
    <m/>
    <m/>
    <m/>
    <m/>
    <m/>
    <m/>
    <m/>
    <m/>
    <m/>
    <n v="3868.1"/>
    <n v="-483.19000000000096"/>
    <m/>
    <m/>
    <m/>
    <m/>
    <n v="-514"/>
    <n v="0"/>
    <n v="30"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247"/>
    <s v="Regular"/>
    <s v="Convencional"/>
    <s v="B1"/>
    <s v="Residencial"/>
    <s v="Residencial"/>
    <s v="Não se aplica"/>
    <s v="Não se aplica"/>
    <s v="Não se aplica"/>
    <s v="CATIVO"/>
    <x v="8"/>
    <n v="0"/>
    <n v="0"/>
    <n v="480.74400000000003"/>
    <n v="480.74400000000003"/>
    <n v="480.74400000000003"/>
    <n v="480.74400000000003"/>
    <m/>
    <n v="707.13"/>
    <n v="119.97"/>
    <m/>
    <n v="397623.36240000004"/>
    <n v="397623.36240000004"/>
    <n v="350476.79832"/>
    <n v="0"/>
    <n v="29274.847987904734"/>
    <n v="0"/>
    <n v="0"/>
    <n v="0"/>
    <n v="51698.830357843326"/>
    <n v="244873.18139244383"/>
    <n v="57676.704974168628"/>
    <n v="0"/>
    <n v="0"/>
    <n v="0"/>
    <n v="0"/>
    <n v="0"/>
    <n v="4523.9096443273147"/>
    <m/>
    <n v="1034.2239668501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43.9811587357617"/>
    <n v="0"/>
    <n v="0"/>
    <n v="0"/>
    <n v="67474.69"/>
    <n v="3096"/>
    <m/>
    <m/>
    <m/>
    <m/>
    <m/>
    <m/>
    <m/>
    <m/>
    <m/>
    <n v="66220.68613290439"/>
    <m/>
    <m/>
    <m/>
    <m/>
    <m/>
    <m/>
    <m/>
    <m/>
    <m/>
    <m/>
    <m/>
    <m/>
    <n v="350473.88219999999"/>
    <n v="-47149.510200000077"/>
    <m/>
    <m/>
    <m/>
    <m/>
    <n v="-47146.564080000026"/>
    <n v="0"/>
    <n v="31"/>
    <n v="-3633.6188084253517"/>
    <n v="0"/>
    <n v="0"/>
    <n v="0"/>
    <n v="0"/>
    <n v="0"/>
    <n v="0"/>
    <n v="0"/>
    <n v="-276.59804213204916"/>
    <n v="0"/>
    <n v="0"/>
    <n v="0"/>
    <n v="0"/>
    <n v="0"/>
    <n v="0"/>
    <n v="0"/>
    <n v="0"/>
    <n v="-2885.9808271910515"/>
    <m/>
    <n v="0"/>
    <n v="0"/>
    <n v="0"/>
    <n v="0"/>
    <n v="-385.51990958923307"/>
    <n v="-85.52002951302029"/>
    <n v="0"/>
    <n v="0"/>
    <m/>
    <m/>
    <m/>
    <n v="244873.18139244383"/>
    <n v="0"/>
    <n v="0"/>
    <n v="-47146.56408000004"/>
    <n v="0"/>
    <n v="0"/>
    <n v="0"/>
    <n v="-43512.487221510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48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7.4240000000000004"/>
    <n v="7.4240000000000004"/>
    <n v="7.4240000000000004"/>
    <n v="7.4240000000000004"/>
    <m/>
    <n v="707.13"/>
    <n v="119.97"/>
    <m/>
    <n v="6140.3904000000002"/>
    <n v="6140.3904000000002"/>
    <n v="5412.3187200000002"/>
    <n v="0"/>
    <n v="452.08358598797849"/>
    <n v="0"/>
    <n v="0"/>
    <n v="0"/>
    <n v="798.3711009947682"/>
    <n v="3781.5105308802667"/>
    <n v="890.68580726587936"/>
    <n v="0"/>
    <n v="0"/>
    <n v="0"/>
    <n v="0"/>
    <n v="0"/>
    <n v="69.861517147350739"/>
    <m/>
    <n v="15.9712419289596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94239787174524"/>
    <n v="0"/>
    <n v="0"/>
    <n v="0"/>
    <n v="3464.8"/>
    <n v="48"/>
    <m/>
    <m/>
    <m/>
    <m/>
    <m/>
    <m/>
    <m/>
    <m/>
    <m/>
    <n v="1022.6282051376246"/>
    <m/>
    <m/>
    <m/>
    <m/>
    <m/>
    <m/>
    <m/>
    <m/>
    <m/>
    <m/>
    <m/>
    <m/>
    <n v="5409.4025999999994"/>
    <n v="-731.01780000000144"/>
    <m/>
    <m/>
    <m/>
    <m/>
    <n v="-728.07168000000036"/>
    <n v="0"/>
    <n v="31"/>
    <n v="-56.112995760216108"/>
    <n v="0"/>
    <n v="0"/>
    <n v="0"/>
    <n v="0"/>
    <n v="0"/>
    <n v="0"/>
    <n v="0"/>
    <n v="-4.2714290033538873"/>
    <n v="0"/>
    <n v="0"/>
    <n v="0"/>
    <n v="0"/>
    <n v="0"/>
    <n v="0"/>
    <n v="0"/>
    <n v="0"/>
    <n v="-44.567423953427067"/>
    <m/>
    <n v="0"/>
    <n v="0"/>
    <n v="0"/>
    <n v="0"/>
    <n v="-5.9534800409167161"/>
    <n v="-1.3206627625194756"/>
    <n v="0"/>
    <n v="0"/>
    <m/>
    <m/>
    <m/>
    <n v="3781.5105308802667"/>
    <n v="0"/>
    <n v="0"/>
    <n v="-728.07168000000001"/>
    <n v="0"/>
    <n v="0"/>
    <n v="0"/>
    <n v="-671.95161069612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49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5.58"/>
    <n v="5.58"/>
    <n v="5.58"/>
    <n v="5.58"/>
    <m/>
    <n v="636.83000000000004"/>
    <n v="119.97"/>
    <m/>
    <n v="4222.9440000000004"/>
    <n v="4222.9440000000004"/>
    <n v="3713.6574000000001"/>
    <n v="0"/>
    <n v="0"/>
    <n v="0"/>
    <n v="0"/>
    <n v="0"/>
    <n v="600.06879627570129"/>
    <n v="2842.2452535441657"/>
    <n v="669.45404156029178"/>
    <n v="0"/>
    <n v="0"/>
    <n v="0"/>
    <n v="0"/>
    <n v="0"/>
    <n v="0"/>
    <m/>
    <n v="12.0042470317342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170067365886098"/>
    <n v="0"/>
    <n v="0"/>
    <n v="0"/>
    <n v="176.7"/>
    <n v="15"/>
    <m/>
    <m/>
    <m/>
    <m/>
    <m/>
    <m/>
    <m/>
    <n v="2413.8521999999998"/>
    <m/>
    <n v="768.62410892617788"/>
    <m/>
    <m/>
    <m/>
    <m/>
    <m/>
    <m/>
    <m/>
    <m/>
    <m/>
    <m/>
    <m/>
    <m/>
    <n v="1299.8052"/>
    <n v="-178.25519999999983"/>
    <m/>
    <m/>
    <m/>
    <m/>
    <n v="-509.28660000000053"/>
    <n v="0"/>
    <n v="31"/>
    <n v="-4.2031077658368758"/>
    <n v="0"/>
    <n v="0"/>
    <n v="0"/>
    <n v="0"/>
    <n v="0"/>
    <n v="0"/>
    <n v="0"/>
    <n v="-3.2104760019819878"/>
    <n v="0"/>
    <n v="0"/>
    <n v="0"/>
    <n v="0"/>
    <n v="0"/>
    <n v="0"/>
    <n v="0"/>
    <n v="0"/>
    <n v="0"/>
    <m/>
    <n v="0"/>
    <n v="0"/>
    <n v="0"/>
    <n v="0"/>
    <n v="0"/>
    <n v="-0.9926317638548845"/>
    <n v="0"/>
    <n v="0"/>
    <m/>
    <m/>
    <m/>
    <n v="2842.2452535441657"/>
    <n v="0"/>
    <n v="0"/>
    <n v="-509.28660000000036"/>
    <n v="0"/>
    <n v="0"/>
    <n v="0"/>
    <n v="-505.04983670317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50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1.129"/>
    <n v="11.129"/>
    <n v="11.129"/>
    <n v="11.129"/>
    <m/>
    <n v="636.83000000000004"/>
    <n v="119.97"/>
    <m/>
    <n v="8422.4272000000001"/>
    <n v="8422.4272000000001"/>
    <n v="7406.6833699999988"/>
    <n v="0"/>
    <n v="0"/>
    <n v="0"/>
    <n v="0"/>
    <n v="0"/>
    <n v="1196.8038770165374"/>
    <n v="5668.7002556797524"/>
    <n v="1335.1888940008041"/>
    <n v="0"/>
    <n v="0"/>
    <n v="0"/>
    <n v="0"/>
    <n v="0"/>
    <n v="0"/>
    <m/>
    <n v="23.941803802181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.78918991307282"/>
    <n v="0"/>
    <n v="0"/>
    <n v="0"/>
    <n v="605.59"/>
    <n v="31"/>
    <m/>
    <m/>
    <m/>
    <m/>
    <m/>
    <m/>
    <m/>
    <n v="2962.6510899999994"/>
    <m/>
    <n v="1532.9780839138768"/>
    <m/>
    <m/>
    <m/>
    <m/>
    <m/>
    <m/>
    <m/>
    <m/>
    <m/>
    <m/>
    <m/>
    <m/>
    <n v="4444.4315999999999"/>
    <n v="-609.054720000001"/>
    <m/>
    <m/>
    <m/>
    <m/>
    <n v="-1015.743830000001"/>
    <n v="0"/>
    <n v="31"/>
    <n v="-8.3828649329743712"/>
    <n v="0"/>
    <n v="0"/>
    <n v="0"/>
    <n v="0"/>
    <n v="0"/>
    <n v="0"/>
    <n v="0"/>
    <n v="-6.403116026175212"/>
    <n v="0"/>
    <n v="0"/>
    <n v="0"/>
    <n v="0"/>
    <n v="0"/>
    <n v="0"/>
    <n v="0"/>
    <n v="0"/>
    <n v="0"/>
    <m/>
    <n v="0"/>
    <n v="0"/>
    <n v="0"/>
    <n v="0"/>
    <n v="0"/>
    <n v="-1.9797489067994647"/>
    <n v="0"/>
    <n v="0"/>
    <m/>
    <m/>
    <m/>
    <n v="5668.7002556797524"/>
    <n v="0"/>
    <n v="0"/>
    <n v="-1015.7438300000013"/>
    <n v="0"/>
    <n v="0"/>
    <n v="0"/>
    <n v="-1007.29384098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51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10.95"/>
    <n v="10.95"/>
    <n v="10.95"/>
    <n v="10.95"/>
    <m/>
    <n v="636.83000000000004"/>
    <n v="119.97"/>
    <m/>
    <n v="8286.9599999999991"/>
    <n v="8286.9599999999991"/>
    <n v="7287.5534999999982"/>
    <n v="0"/>
    <n v="0"/>
    <n v="0"/>
    <n v="0"/>
    <n v="0"/>
    <n v="1177.5543582829621"/>
    <n v="5577.5242878689269"/>
    <n v="1313.7135761801424"/>
    <n v="0"/>
    <n v="0"/>
    <n v="0"/>
    <n v="0"/>
    <n v="0"/>
    <n v="0"/>
    <m/>
    <n v="23.5567213257150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60792789542162"/>
    <n v="0"/>
    <n v="0"/>
    <n v="0"/>
    <n v="1496.24"/>
    <n v="88"/>
    <m/>
    <m/>
    <m/>
    <m/>
    <m/>
    <m/>
    <m/>
    <n v="728.61299999999937"/>
    <m/>
    <n v="1508.321504075564"/>
    <m/>
    <m/>
    <m/>
    <m/>
    <m/>
    <m/>
    <m/>
    <m/>
    <m/>
    <m/>
    <m/>
    <m/>
    <n v="6558.9404999999988"/>
    <n v="-899.35350000000108"/>
    <m/>
    <m/>
    <m/>
    <m/>
    <n v="-999.40650000000096"/>
    <n v="0"/>
    <n v="31"/>
    <n v="-8.2480340566157793"/>
    <n v="0"/>
    <n v="0"/>
    <n v="0"/>
    <n v="0"/>
    <n v="0"/>
    <n v="0"/>
    <n v="0"/>
    <n v="-6.3001276382979086"/>
    <n v="0"/>
    <n v="0"/>
    <n v="0"/>
    <n v="0"/>
    <n v="0"/>
    <n v="0"/>
    <n v="0"/>
    <n v="0"/>
    <n v="0"/>
    <m/>
    <n v="0"/>
    <n v="0"/>
    <n v="0"/>
    <n v="0"/>
    <n v="0"/>
    <n v="-1.9479064183173804"/>
    <n v="0"/>
    <n v="0"/>
    <m/>
    <m/>
    <m/>
    <n v="5577.5242878689269"/>
    <n v="0"/>
    <n v="0"/>
    <n v="-999.40650000000096"/>
    <n v="0"/>
    <n v="0"/>
    <n v="0"/>
    <n v="-991.0924214874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52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2.9620000000000002"/>
    <n v="2.9620000000000002"/>
    <n v="2.9620000000000002"/>
    <n v="2.9620000000000002"/>
    <m/>
    <n v="636.83000000000004"/>
    <n v="119.97"/>
    <m/>
    <n v="2241.6416000000004"/>
    <n v="2241.6416000000004"/>
    <n v="1971.2998599999999"/>
    <n v="0"/>
    <n v="0"/>
    <n v="0"/>
    <n v="0"/>
    <n v="0"/>
    <n v="318.53114239581134"/>
    <n v="1508.7330539422617"/>
    <n v="355.36252170279289"/>
    <n v="0"/>
    <n v="0"/>
    <n v="0"/>
    <n v="0"/>
    <n v="0"/>
    <n v="0"/>
    <m/>
    <n v="6.3721469010746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641888806049216"/>
    <n v="0"/>
    <n v="0"/>
    <n v="0"/>
    <n v="656.87"/>
    <n v="51"/>
    <m/>
    <m/>
    <m/>
    <m/>
    <m/>
    <m/>
    <m/>
    <m/>
    <m/>
    <n v="408.00441050884211"/>
    <m/>
    <m/>
    <m/>
    <m/>
    <m/>
    <m/>
    <m/>
    <m/>
    <m/>
    <m/>
    <m/>
    <m/>
    <n v="1969.9687999999999"/>
    <n v="-271.70280000000071"/>
    <m/>
    <m/>
    <m/>
    <m/>
    <n v="-270.3417400000003"/>
    <n v="0"/>
    <n v="31"/>
    <n v="-2.231112043442522"/>
    <n v="0"/>
    <n v="0"/>
    <n v="0"/>
    <n v="0"/>
    <n v="0"/>
    <n v="0"/>
    <n v="0"/>
    <n v="-1.7041989100126784"/>
    <n v="0"/>
    <n v="0"/>
    <n v="0"/>
    <n v="0"/>
    <n v="0"/>
    <n v="0"/>
    <n v="0"/>
    <n v="0"/>
    <n v="0"/>
    <m/>
    <n v="0"/>
    <n v="0"/>
    <n v="0"/>
    <n v="0"/>
    <n v="0"/>
    <n v="-0.52691313342978052"/>
    <n v="0"/>
    <n v="0"/>
    <m/>
    <m/>
    <m/>
    <n v="1508.7330539422617"/>
    <n v="0"/>
    <n v="0"/>
    <n v="-270.3417400000003"/>
    <n v="0"/>
    <n v="0"/>
    <n v="0"/>
    <n v="-268.092762780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53"/>
    <s v="Regular"/>
    <s v="Convencional"/>
    <s v="B3"/>
    <s v="Industrial"/>
    <s v="Não se aplica"/>
    <s v="Não se aplica"/>
    <s v="Não se aplica"/>
    <s v="Não se aplica"/>
    <s v="CATIVO"/>
    <x v="8"/>
    <n v="0"/>
    <n v="0"/>
    <n v="146.398"/>
    <n v="146.398"/>
    <n v="146.398"/>
    <n v="146.398"/>
    <m/>
    <n v="707.13"/>
    <n v="119.97"/>
    <m/>
    <n v="121085.78579999998"/>
    <n v="121085.78579999998"/>
    <n v="106728.53393999999"/>
    <n v="0"/>
    <n v="8914.8885804779184"/>
    <n v="0"/>
    <n v="0"/>
    <n v="0"/>
    <n v="15743.525383005397"/>
    <n v="74569.716958487232"/>
    <n v="17563.930605079498"/>
    <n v="0"/>
    <n v="0"/>
    <n v="0"/>
    <n v="0"/>
    <n v="0"/>
    <n v="1377.6382526047753"/>
    <m/>
    <n v="314.94583457918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1.8457925145149"/>
    <n v="0"/>
    <n v="0"/>
    <n v="0"/>
    <n v="35575.9"/>
    <n v="67"/>
    <m/>
    <m/>
    <m/>
    <m/>
    <m/>
    <m/>
    <m/>
    <m/>
    <m/>
    <n v="20165.776397594014"/>
    <m/>
    <m/>
    <m/>
    <m/>
    <m/>
    <m/>
    <m/>
    <m/>
    <m/>
    <m/>
    <m/>
    <m/>
    <n v="106729.992"/>
    <n v="-14355.823799999969"/>
    <m/>
    <m/>
    <m/>
    <m/>
    <n v="-14357.251860000008"/>
    <n v="0"/>
    <n v="31"/>
    <n v="-1106.5234850894703"/>
    <n v="0"/>
    <n v="0"/>
    <n v="0"/>
    <n v="0"/>
    <n v="0"/>
    <n v="0"/>
    <n v="0"/>
    <n v="-84.230692784616622"/>
    <n v="0"/>
    <n v="0"/>
    <n v="0"/>
    <n v="0"/>
    <n v="0"/>
    <n v="0"/>
    <n v="0"/>
    <n v="0"/>
    <n v="-878.84991001263643"/>
    <m/>
    <n v="0"/>
    <n v="0"/>
    <n v="0"/>
    <n v="0"/>
    <n v="-117.39999609780762"/>
    <n v="-26.042886194413484"/>
    <n v="0"/>
    <n v="0"/>
    <m/>
    <m/>
    <m/>
    <n v="74569.716958487232"/>
    <n v="0"/>
    <n v="0"/>
    <n v="-14357.251860000004"/>
    <n v="0"/>
    <n v="0"/>
    <n v="0"/>
    <n v="-13250.588887754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54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0.2"/>
    <n v="0.2"/>
    <n v="0.2"/>
    <n v="0.2"/>
    <m/>
    <n v="707.13"/>
    <n v="119.97"/>
    <m/>
    <n v="165.42000000000002"/>
    <n v="165.42000000000002"/>
    <n v="145.80599999999998"/>
    <n v="0"/>
    <n v="12.17897591562442"/>
    <n v="0"/>
    <n v="0"/>
    <n v="0"/>
    <n v="21.507842160419401"/>
    <n v="101.8725897327658"/>
    <n v="23.9947685147058"/>
    <n v="0"/>
    <n v="0"/>
    <n v="0"/>
    <n v="0"/>
    <n v="0"/>
    <n v="1.8820451817713022"/>
    <m/>
    <n v="0.4302597502413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544827012862399"/>
    <n v="0"/>
    <n v="0"/>
    <n v="0"/>
    <n v="975.44"/>
    <n v="2"/>
    <m/>
    <m/>
    <m/>
    <m/>
    <m/>
    <m/>
    <m/>
    <m/>
    <m/>
    <n v="27.54925121599204"/>
    <m/>
    <m/>
    <m/>
    <m/>
    <m/>
    <m/>
    <m/>
    <m/>
    <m/>
    <m/>
    <m/>
    <m/>
    <n v="145.80599999999998"/>
    <n v="-19.644000000000005"/>
    <m/>
    <m/>
    <m/>
    <m/>
    <n v="-19.614000000000011"/>
    <n v="0"/>
    <n v="31"/>
    <n v="-1.5116647564713617"/>
    <n v="0"/>
    <n v="0"/>
    <n v="0"/>
    <n v="0"/>
    <n v="0"/>
    <n v="0"/>
    <n v="0"/>
    <n v="-0.1150708244437979"/>
    <n v="0"/>
    <n v="0"/>
    <n v="0"/>
    <n v="0"/>
    <n v="0"/>
    <n v="0"/>
    <n v="0"/>
    <n v="0"/>
    <n v="-1.2006310332280989"/>
    <m/>
    <n v="0"/>
    <n v="0"/>
    <n v="0"/>
    <n v="0"/>
    <n v="-0.16038469937814415"/>
    <n v="-3.5578199421322065E-2"/>
    <n v="0"/>
    <n v="0"/>
    <m/>
    <m/>
    <m/>
    <n v="101.8725897327658"/>
    <n v="0"/>
    <n v="0"/>
    <n v="-19.614000000000019"/>
    <n v="0"/>
    <n v="0"/>
    <n v="0"/>
    <n v="-18.102144684701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55"/>
    <s v="Regular"/>
    <s v="Verde"/>
    <s v="A4"/>
    <s v="Industrial"/>
    <s v="Não se aplica"/>
    <s v="Não se aplica"/>
    <s v="Não se aplica"/>
    <s v="Ponta"/>
    <s v="CATIVO"/>
    <x v="8"/>
    <n v="0"/>
    <n v="0"/>
    <n v="107.97199999999999"/>
    <n v="107.97199999999999"/>
    <n v="107.97199999999999"/>
    <n v="107.97199999999999"/>
    <m/>
    <n v="3312.96"/>
    <n v="119.97"/>
    <m/>
    <n v="370660.31796000001"/>
    <n v="370660.31796000001"/>
    <n v="321736.04532000003"/>
    <n v="0"/>
    <n v="5720.199485893826"/>
    <n v="0"/>
    <n v="0"/>
    <n v="0"/>
    <n v="80724.078592851598"/>
    <n v="269194.79822994053"/>
    <n v="12953.815730349072"/>
    <n v="0"/>
    <n v="0"/>
    <n v="0"/>
    <n v="0"/>
    <n v="0"/>
    <n v="1016.0409118310552"/>
    <m/>
    <n v="90.7755146999240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1.36621200312504"/>
    <n v="0"/>
    <n v="0"/>
    <n v="0"/>
    <n v="0"/>
    <n v="0"/>
    <m/>
    <m/>
    <m/>
    <m/>
    <m/>
    <m/>
    <m/>
    <m/>
    <m/>
    <n v="13915.181942352197"/>
    <m/>
    <m/>
    <m/>
    <m/>
    <m/>
    <m/>
    <m/>
    <m/>
    <m/>
    <m/>
    <m/>
    <m/>
    <n v="321730.08570000005"/>
    <n v="-48930.262259999989"/>
    <m/>
    <m/>
    <m/>
    <m/>
    <n v="-48924.272639999988"/>
    <n v="0"/>
    <n v="31"/>
    <n v="-1089.8900793546636"/>
    <n v="0"/>
    <n v="0"/>
    <n v="0"/>
    <n v="0"/>
    <n v="0"/>
    <n v="0"/>
    <n v="0"/>
    <n v="-431.88834132539341"/>
    <n v="0"/>
    <n v="0"/>
    <n v="0"/>
    <n v="0"/>
    <n v="0"/>
    <n v="0"/>
    <n v="0"/>
    <n v="0"/>
    <n v="-563.91022255071039"/>
    <m/>
    <n v="0"/>
    <n v="0"/>
    <n v="0"/>
    <n v="0"/>
    <n v="-86.58528380628502"/>
    <n v="-7.50623167227522"/>
    <n v="0"/>
    <n v="0"/>
    <m/>
    <m/>
    <m/>
    <n v="269194.79822994053"/>
    <n v="0"/>
    <n v="0"/>
    <n v="-48924.272639999981"/>
    <n v="0"/>
    <n v="0"/>
    <n v="0"/>
    <n v="-47834.291821876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56"/>
    <s v="Sistema de Compensação"/>
    <s v="Verde"/>
    <s v="A4"/>
    <s v="Industrial"/>
    <s v="Não se aplica"/>
    <s v="Não se aplica"/>
    <s v="Não se aplica"/>
    <s v="Ponta"/>
    <s v="CATIVO"/>
    <x v="8"/>
    <n v="0"/>
    <n v="0"/>
    <n v="3.383"/>
    <n v="3.383"/>
    <n v="3.383"/>
    <n v="3.383"/>
    <m/>
    <n v="3312.96"/>
    <n v="119.97"/>
    <m/>
    <n v="11613.60219"/>
    <n v="11613.60219"/>
    <n v="10080.69723"/>
    <n v="0"/>
    <n v="179.22641852312464"/>
    <n v="0"/>
    <n v="0"/>
    <n v="0"/>
    <n v="2529.2627521914665"/>
    <n v="8434.4645131320049"/>
    <n v="405.87150942624862"/>
    <n v="0"/>
    <n v="0"/>
    <n v="0"/>
    <n v="0"/>
    <n v="0"/>
    <n v="31.834794249661574"/>
    <m/>
    <n v="2.84419633080653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121715770816248"/>
    <n v="0"/>
    <n v="0"/>
    <n v="0"/>
    <n v="0"/>
    <n v="0"/>
    <m/>
    <m/>
    <m/>
    <m/>
    <m/>
    <m/>
    <m/>
    <m/>
    <m/>
    <n v="435.99322519706487"/>
    <m/>
    <m/>
    <m/>
    <m/>
    <m/>
    <m/>
    <m/>
    <m/>
    <m/>
    <m/>
    <m/>
    <m/>
    <n v="10071.757800000001"/>
    <n v="-1541.874389999999"/>
    <m/>
    <m/>
    <m/>
    <m/>
    <n v="-1532.9049599999996"/>
    <n v="0"/>
    <n v="31"/>
    <n v="-34.148650932249438"/>
    <n v="0"/>
    <n v="0"/>
    <n v="0"/>
    <n v="0"/>
    <n v="0"/>
    <n v="0"/>
    <n v="0"/>
    <n v="-13.532010694475048"/>
    <n v="0"/>
    <n v="0"/>
    <n v="0"/>
    <n v="0"/>
    <n v="0"/>
    <n v="0"/>
    <n v="0"/>
    <n v="0"/>
    <n v="-17.668546316536236"/>
    <m/>
    <n v="0"/>
    <n v="0"/>
    <n v="0"/>
    <n v="0"/>
    <n v="-2.7129071899813084"/>
    <n v="-0.23518673125724332"/>
    <n v="0"/>
    <n v="0"/>
    <m/>
    <m/>
    <m/>
    <n v="8434.4645131320049"/>
    <n v="0"/>
    <n v="0"/>
    <n v="-1532.9049599999998"/>
    <n v="0"/>
    <n v="0"/>
    <n v="0"/>
    <n v="-1498.753466022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57"/>
    <s v="Regular"/>
    <s v="Verde"/>
    <s v="A4"/>
    <s v="Industrial"/>
    <s v="Não se aplica"/>
    <s v="Não se aplica"/>
    <s v="Não se aplica"/>
    <s v="Fora ponta"/>
    <s v="CATIVO"/>
    <x v="8"/>
    <n v="0"/>
    <n v="0"/>
    <n v="2469.2080000000001"/>
    <n v="2469.2080000000001"/>
    <n v="2469.2080000000001"/>
    <n v="2469.2080000000001"/>
    <m/>
    <n v="72.13"/>
    <n v="119.97"/>
    <m/>
    <n v="474334.85679999995"/>
    <n v="474334.85679999995"/>
    <n v="459297.38008000003"/>
    <n v="0"/>
    <n v="130815.04771760201"/>
    <n v="0"/>
    <n v="0"/>
    <n v="0"/>
    <n v="0"/>
    <n v="0"/>
    <n v="296240.37187329843"/>
    <n v="0"/>
    <n v="0"/>
    <n v="0"/>
    <n v="0"/>
    <n v="0"/>
    <n v="23235.805095955766"/>
    <m/>
    <n v="2075.9421618676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985.451242987187"/>
    <n v="0"/>
    <n v="0"/>
    <n v="0"/>
    <n v="0"/>
    <n v="0"/>
    <m/>
    <m/>
    <m/>
    <m/>
    <m/>
    <m/>
    <m/>
    <m/>
    <m/>
    <n v="318225.82311628561"/>
    <m/>
    <m/>
    <m/>
    <m/>
    <m/>
    <m/>
    <m/>
    <m/>
    <m/>
    <m/>
    <m/>
    <m/>
    <n v="459297.75210000004"/>
    <n v="-15037.134699999937"/>
    <m/>
    <m/>
    <m/>
    <m/>
    <n v="-15037.476719999973"/>
    <n v="0"/>
    <n v="31"/>
    <n v="-15047.819393507438"/>
    <n v="0"/>
    <n v="0"/>
    <n v="0"/>
    <n v="0"/>
    <n v="0"/>
    <n v="0"/>
    <n v="0"/>
    <n v="0"/>
    <n v="0"/>
    <n v="0"/>
    <n v="0"/>
    <n v="0"/>
    <n v="0"/>
    <n v="0"/>
    <n v="0"/>
    <n v="0"/>
    <n v="-12896.043722483548"/>
    <m/>
    <n v="0"/>
    <n v="0"/>
    <n v="0"/>
    <n v="0"/>
    <n v="-1980.1159139105403"/>
    <n v="-171.65975711328292"/>
    <n v="0"/>
    <n v="0"/>
    <m/>
    <m/>
    <m/>
    <n v="0"/>
    <n v="0"/>
    <n v="0"/>
    <n v="-15037.47671999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58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17.451000000000001"/>
    <n v="17.451000000000001"/>
    <n v="17.451000000000001"/>
    <n v="17.451000000000001"/>
    <m/>
    <n v="72.13"/>
    <n v="119.97"/>
    <m/>
    <n v="3352.3370999999997"/>
    <n v="3352.3370999999997"/>
    <n v="3246.0605100000002"/>
    <n v="0"/>
    <n v="924.52859286049318"/>
    <n v="0"/>
    <n v="0"/>
    <n v="0"/>
    <n v="0"/>
    <n v="0"/>
    <n v="2093.6635267506545"/>
    <n v="0"/>
    <n v="0"/>
    <n v="0"/>
    <n v="0"/>
    <n v="0"/>
    <n v="164.21785233545498"/>
    <m/>
    <n v="14.671614002041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.38104106311391"/>
    <n v="0"/>
    <n v="0"/>
    <n v="0"/>
    <n v="0"/>
    <n v="0"/>
    <m/>
    <m/>
    <m/>
    <m/>
    <m/>
    <m/>
    <m/>
    <m/>
    <m/>
    <n v="2249.0445678137685"/>
    <m/>
    <m/>
    <m/>
    <m/>
    <m/>
    <m/>
    <m/>
    <m/>
    <m/>
    <m/>
    <m/>
    <m/>
    <n v="3245.8744999999999"/>
    <n v="-106.49260000000049"/>
    <m/>
    <m/>
    <m/>
    <m/>
    <n v="-106.27658999999981"/>
    <n v="0"/>
    <n v="31"/>
    <n v="-106.34968631079164"/>
    <n v="0"/>
    <n v="0"/>
    <n v="0"/>
    <n v="0"/>
    <n v="0"/>
    <n v="0"/>
    <n v="0"/>
    <n v="0"/>
    <n v="0"/>
    <n v="0"/>
    <n v="0"/>
    <n v="0"/>
    <n v="0"/>
    <n v="0"/>
    <n v="0"/>
    <n v="0"/>
    <n v="-91.142122899755918"/>
    <m/>
    <n v="0"/>
    <n v="0"/>
    <n v="0"/>
    <n v="0"/>
    <n v="-13.994366944239971"/>
    <n v="-1.2131964667957877"/>
    <n v="0"/>
    <n v="0"/>
    <m/>
    <m/>
    <m/>
    <n v="0"/>
    <n v="0"/>
    <n v="0"/>
    <n v="-106.27658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59"/>
    <s v="Regular"/>
    <s v="Verde"/>
    <s v="A4"/>
    <s v="Industrial"/>
    <s v="Não se aplica"/>
    <s v="Não se aplica"/>
    <s v="Não se aplica"/>
    <s v="Não se aplica"/>
    <s v="CATIVO"/>
    <x v="8"/>
    <n v="10370"/>
    <n v="10370"/>
    <n v="0"/>
    <n v="0"/>
    <n v="0"/>
    <n v="0"/>
    <n v="46.29"/>
    <m/>
    <m/>
    <n v="480027.3"/>
    <m/>
    <n v="480027.3"/>
    <n v="426725.5"/>
    <n v="0"/>
    <n v="0"/>
    <n v="0"/>
    <n v="0"/>
    <n v="0"/>
    <n v="185757.93831335989"/>
    <n v="294232.451568274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84754.37"/>
    <n v="26"/>
    <m/>
    <m/>
    <m/>
    <m/>
    <m/>
    <m/>
    <m/>
    <m/>
    <m/>
    <n v="0"/>
    <m/>
    <m/>
    <m/>
    <m/>
    <m/>
    <m/>
    <m/>
    <m/>
    <m/>
    <m/>
    <m/>
    <m/>
    <n v="426725.5"/>
    <n v="-53301.830000000016"/>
    <m/>
    <m/>
    <m/>
    <m/>
    <n v="-53301.8"/>
    <n v="0"/>
    <n v="31"/>
    <n v="-993.83838458961691"/>
    <n v="0"/>
    <n v="0"/>
    <n v="0"/>
    <n v="0"/>
    <m/>
    <m/>
    <m/>
    <n v="-993.838384589616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4232.45156827476"/>
    <m/>
    <n v="0"/>
    <n v="0"/>
    <n v="-53301.799999999988"/>
    <m/>
    <n v="0"/>
    <m/>
    <n v="-52283.331789201417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260"/>
    <s v="Sistema de Compensação"/>
    <s v="Verde"/>
    <s v="A4"/>
    <s v="Industrial"/>
    <s v="Não se aplica"/>
    <s v="Não se aplica"/>
    <s v="Não se aplica"/>
    <s v="Não se aplica"/>
    <s v="CATIVO"/>
    <x v="8"/>
    <n v="80"/>
    <n v="80"/>
    <n v="0"/>
    <n v="0"/>
    <n v="0"/>
    <n v="0"/>
    <n v="46.29"/>
    <m/>
    <m/>
    <n v="3703.2"/>
    <m/>
    <n v="3703.2"/>
    <n v="3292"/>
    <n v="0"/>
    <n v="0"/>
    <n v="0"/>
    <n v="0"/>
    <n v="0"/>
    <n v="1433.040989881272"/>
    <n v="2269.87426475043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541.09"/>
    <n v="1"/>
    <m/>
    <m/>
    <m/>
    <m/>
    <m/>
    <m/>
    <m/>
    <m/>
    <m/>
    <n v="0"/>
    <m/>
    <m/>
    <m/>
    <m/>
    <m/>
    <m/>
    <m/>
    <m/>
    <m/>
    <m/>
    <m/>
    <m/>
    <n v="3292"/>
    <n v="-411.23000000000047"/>
    <m/>
    <m/>
    <m/>
    <m/>
    <n v="-411.20000000000005"/>
    <n v="0"/>
    <n v="31"/>
    <n v="-7.6670270749439169"/>
    <n v="0"/>
    <n v="0"/>
    <n v="0"/>
    <n v="0"/>
    <m/>
    <m/>
    <m/>
    <n v="-7.66702707494391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69.8742647504323"/>
    <m/>
    <n v="0"/>
    <n v="0"/>
    <n v="-411.19999999999982"/>
    <m/>
    <n v="0"/>
    <m/>
    <n v="-403.34296462257635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261"/>
    <s v="Regular"/>
    <s v="Branca"/>
    <s v="B3"/>
    <s v="Industrial"/>
    <s v="Não se aplica"/>
    <s v="Não se aplica"/>
    <s v="Não se aplica"/>
    <s v="Ponta"/>
    <s v="CATIVO"/>
    <x v="8"/>
    <n v="0"/>
    <n v="0"/>
    <n v="3.2000000000000001E-2"/>
    <n v="3.2000000000000001E-2"/>
    <n v="3.2000000000000001E-2"/>
    <n v="3.2000000000000001E-2"/>
    <m/>
    <n v="2187.66"/>
    <n v="119.97"/>
    <m/>
    <n v="73.844159999999988"/>
    <n v="73.844159999999988"/>
    <n v="63.7104"/>
    <n v="0"/>
    <n v="1.9486361464999074"/>
    <n v="0"/>
    <n v="0"/>
    <n v="0"/>
    <n v="11.699092313296928"/>
    <n v="55.418682752533435"/>
    <n v="3.839162962352928"/>
    <n v="0"/>
    <n v="0"/>
    <n v="0"/>
    <n v="0"/>
    <n v="0"/>
    <n v="0.30112722908340833"/>
    <m/>
    <n v="6.884156003861921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687172322057984"/>
    <n v="0"/>
    <n v="0"/>
    <n v="0"/>
    <n v="0"/>
    <n v="0"/>
    <m/>
    <m/>
    <m/>
    <m/>
    <m/>
    <m/>
    <m/>
    <m/>
    <m/>
    <n v="4.407880194558726"/>
    <m/>
    <m/>
    <m/>
    <m/>
    <m/>
    <m/>
    <m/>
    <m/>
    <m/>
    <m/>
    <m/>
    <m/>
    <n v="59.728499999999997"/>
    <n v="-14.145660000000007"/>
    <m/>
    <m/>
    <m/>
    <m/>
    <n v="-10.133759999999995"/>
    <n v="0"/>
    <n v="31"/>
    <n v="-0.2860472774632008"/>
    <n v="0"/>
    <n v="0"/>
    <n v="0"/>
    <n v="0"/>
    <n v="0"/>
    <n v="0"/>
    <n v="0"/>
    <n v="-6.2592248338784628E-2"/>
    <n v="0"/>
    <n v="0"/>
    <n v="0"/>
    <n v="0"/>
    <n v="0"/>
    <n v="0"/>
    <n v="0"/>
    <n v="0"/>
    <n v="-0.19210096531649623"/>
    <m/>
    <n v="0"/>
    <n v="0"/>
    <n v="0"/>
    <n v="0"/>
    <n v="-2.5661551900503066E-2"/>
    <n v="-5.6925119074115321E-3"/>
    <n v="0"/>
    <n v="0"/>
    <m/>
    <m/>
    <m/>
    <n v="55.418682752533435"/>
    <n v="0"/>
    <n v="0"/>
    <n v="-10.133759999999988"/>
    <n v="0"/>
    <n v="0"/>
    <n v="0"/>
    <n v="-9.8475656312806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62"/>
    <s v="Regular"/>
    <s v="Branca"/>
    <s v="B3"/>
    <s v="Industrial"/>
    <s v="Não se aplica"/>
    <s v="Não se aplica"/>
    <s v="Não se aplica"/>
    <s v="Fora ponta"/>
    <s v="CATIVO"/>
    <x v="8"/>
    <n v="0"/>
    <n v="0"/>
    <n v="27.564"/>
    <n v="27.564"/>
    <n v="27.564"/>
    <n v="27.564"/>
    <m/>
    <n v="509.72"/>
    <n v="119.97"/>
    <m/>
    <n v="17356.775160000001"/>
    <n v="17356.775160000001"/>
    <n v="15456.788639999999"/>
    <n v="0"/>
    <n v="1678.5064606913577"/>
    <n v="0"/>
    <n v="0"/>
    <n v="0"/>
    <n v="2015.4611282732255"/>
    <n v="9547.2614037933818"/>
    <n v="3306.9589966967533"/>
    <n v="0"/>
    <n v="0"/>
    <n v="0"/>
    <n v="0"/>
    <n v="0"/>
    <n v="259.38346695172083"/>
    <m/>
    <n v="59.298398778265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9.87880589126956"/>
    <n v="0"/>
    <n v="0"/>
    <n v="0"/>
    <n v="0"/>
    <n v="0"/>
    <m/>
    <m/>
    <m/>
    <m/>
    <m/>
    <m/>
    <m/>
    <m/>
    <m/>
    <n v="3796.8378025880229"/>
    <m/>
    <m/>
    <m/>
    <m/>
    <m/>
    <m/>
    <m/>
    <m/>
    <m/>
    <m/>
    <m/>
    <m/>
    <n v="15454.545599999999"/>
    <n v="-1902.2595600000004"/>
    <m/>
    <m/>
    <m/>
    <m/>
    <n v="-1899.9865200000002"/>
    <n v="0"/>
    <n v="31"/>
    <n v="-203.26165529460104"/>
    <n v="0"/>
    <n v="0"/>
    <n v="0"/>
    <n v="0"/>
    <n v="0"/>
    <n v="0"/>
    <n v="0"/>
    <n v="-10.783079582561413"/>
    <n v="0"/>
    <n v="0"/>
    <n v="0"/>
    <n v="0"/>
    <n v="0"/>
    <n v="0"/>
    <n v="0"/>
    <n v="0"/>
    <n v="-165.47096899949679"/>
    <m/>
    <n v="0"/>
    <n v="0"/>
    <n v="0"/>
    <n v="0"/>
    <n v="-22.104219268295822"/>
    <n v="-4.9033874442466043"/>
    <n v="0"/>
    <n v="0"/>
    <m/>
    <m/>
    <m/>
    <n v="9547.2614037933818"/>
    <n v="0"/>
    <n v="0"/>
    <n v="-1899.9865200000004"/>
    <n v="0"/>
    <n v="0"/>
    <n v="0"/>
    <n v="-1696.4907609347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63"/>
    <s v="Regular"/>
    <s v="Branca"/>
    <s v="B3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256.8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264"/>
    <s v="Sistema de Compensação"/>
    <s v="Branca"/>
    <s v="B3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19.869999999999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265"/>
    <s v="Regular"/>
    <s v="Branca"/>
    <s v="B3"/>
    <s v="Industrial"/>
    <s v="Não se aplica"/>
    <s v="Não se aplica"/>
    <s v="Não se aplica"/>
    <s v="Intermediário"/>
    <s v="CATIVO"/>
    <x v="8"/>
    <n v="0"/>
    <n v="0"/>
    <n v="0.19600000000000001"/>
    <n v="0.19600000000000001"/>
    <n v="0.19600000000000001"/>
    <n v="0.19600000000000001"/>
    <m/>
    <n v="1348.63"/>
    <n v="119.97"/>
    <m/>
    <n v="287.84560000000005"/>
    <n v="287.84560000000005"/>
    <n v="250.05679999999998"/>
    <n v="0"/>
    <n v="11.935396397311932"/>
    <n v="0"/>
    <n v="0"/>
    <n v="0"/>
    <n v="42.98218148540974"/>
    <n v="203.66364055040668"/>
    <n v="23.514873144411684"/>
    <n v="0"/>
    <n v="0"/>
    <n v="0"/>
    <n v="0"/>
    <n v="0"/>
    <n v="1.844404278135876"/>
    <m/>
    <n v="0.421654555236542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83393047260515"/>
    <n v="0"/>
    <n v="0"/>
    <n v="0"/>
    <n v="0"/>
    <n v="0"/>
    <m/>
    <m/>
    <m/>
    <m/>
    <m/>
    <m/>
    <m/>
    <m/>
    <m/>
    <n v="26.998266191672201"/>
    <m/>
    <m/>
    <m/>
    <m/>
    <m/>
    <m/>
    <m/>
    <m/>
    <m/>
    <m/>
    <m/>
    <m/>
    <n v="255.16"/>
    <n v="-32.715600000000023"/>
    <m/>
    <m/>
    <m/>
    <m/>
    <n v="-37.788800000000037"/>
    <n v="0"/>
    <n v="31"/>
    <n v="-1.5986244560785963"/>
    <n v="0"/>
    <n v="0"/>
    <n v="0"/>
    <n v="0"/>
    <n v="0"/>
    <n v="0"/>
    <n v="0"/>
    <n v="-0.22996240269158363"/>
    <n v="0"/>
    <n v="0"/>
    <n v="0"/>
    <n v="0"/>
    <n v="0"/>
    <n v="0"/>
    <n v="0"/>
    <n v="0"/>
    <n v="-1.1766184125635384"/>
    <m/>
    <n v="0"/>
    <n v="0"/>
    <n v="0"/>
    <n v="0"/>
    <n v="-0.15717700539058121"/>
    <n v="-3.4866635432895643E-2"/>
    <n v="0"/>
    <n v="0"/>
    <m/>
    <m/>
    <m/>
    <n v="203.66364055040668"/>
    <n v="0"/>
    <n v="0"/>
    <n v="-37.788800000000066"/>
    <n v="0"/>
    <n v="0"/>
    <n v="0"/>
    <n v="-36.18980039604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66"/>
    <s v="Regular"/>
    <s v="Convencional"/>
    <s v="B3"/>
    <s v="Comercial"/>
    <s v="Não se aplica"/>
    <s v="Não se aplica"/>
    <s v="Não se aplica"/>
    <s v="Não se aplica"/>
    <s v="CATIVO"/>
    <x v="8"/>
    <n v="0"/>
    <n v="0"/>
    <n v="83.935000000000002"/>
    <n v="83.935000000000002"/>
    <n v="83.935000000000002"/>
    <n v="83.935000000000002"/>
    <m/>
    <n v="707.13"/>
    <n v="119.97"/>
    <m/>
    <n v="69422.638500000001"/>
    <n v="69422.638500000001"/>
    <n v="61191.133049999997"/>
    <n v="0"/>
    <n v="5111.2117173896786"/>
    <n v="0"/>
    <n v="0"/>
    <n v="0"/>
    <n v="9026.3036586740127"/>
    <n v="42753.379096098492"/>
    <n v="10070.004476409156"/>
    <n v="0"/>
    <n v="0"/>
    <n v="0"/>
    <n v="0"/>
    <n v="0"/>
    <n v="789.84731165987125"/>
    <m/>
    <n v="180.569260682546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91.7275276623027"/>
    <n v="0"/>
    <n v="0"/>
    <n v="0"/>
    <n v="18953.48"/>
    <n v="262"/>
    <m/>
    <m/>
    <m/>
    <m/>
    <m/>
    <m/>
    <m/>
    <m/>
    <m/>
    <n v="11561.732004071459"/>
    <m/>
    <m/>
    <m/>
    <m/>
    <m/>
    <m/>
    <m/>
    <m/>
    <m/>
    <m/>
    <m/>
    <m/>
    <n v="61194.778199999993"/>
    <n v="-8227.8903000000064"/>
    <m/>
    <m/>
    <m/>
    <m/>
    <n v="-8231.5054500000042"/>
    <n v="0"/>
    <n v="31"/>
    <n v="-634.40790667212059"/>
    <n v="0"/>
    <n v="0"/>
    <n v="0"/>
    <n v="0"/>
    <n v="0"/>
    <n v="0"/>
    <n v="0"/>
    <n v="-48.292348248451162"/>
    <n v="0"/>
    <n v="0"/>
    <n v="0"/>
    <n v="0"/>
    <n v="0"/>
    <n v="0"/>
    <n v="0"/>
    <n v="0"/>
    <n v="-503.8748288700026"/>
    <m/>
    <n v="0"/>
    <n v="0"/>
    <n v="0"/>
    <n v="0"/>
    <n v="-67.309448711522691"/>
    <n v="-14.931280842143337"/>
    <n v="0"/>
    <n v="0"/>
    <m/>
    <m/>
    <m/>
    <n v="42753.379096098492"/>
    <n v="0"/>
    <n v="0"/>
    <n v="-8231.5054500000042"/>
    <n v="0"/>
    <n v="0"/>
    <n v="0"/>
    <n v="-7597.0175705521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67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0.384"/>
    <n v="10.384"/>
    <n v="10.384"/>
    <n v="10.384"/>
    <m/>
    <n v="707.13"/>
    <n v="119.97"/>
    <m/>
    <n v="8588.6064000000006"/>
    <n v="8588.6064000000006"/>
    <n v="7570.247519999999"/>
    <n v="0"/>
    <n v="632.3324295392199"/>
    <n v="0"/>
    <n v="0"/>
    <n v="0"/>
    <n v="1116.6871649689754"/>
    <n v="5289.2248589252004"/>
    <n v="1245.8083812835253"/>
    <n v="0"/>
    <n v="0"/>
    <n v="0"/>
    <n v="0"/>
    <n v="0"/>
    <n v="97.715785837566003"/>
    <m/>
    <n v="22.3390862325319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4.54874185078157"/>
    <n v="0"/>
    <n v="0"/>
    <n v="0"/>
    <n v="4768.08"/>
    <n v="8"/>
    <m/>
    <m/>
    <m/>
    <m/>
    <m/>
    <m/>
    <m/>
    <m/>
    <m/>
    <n v="1430.3571231343069"/>
    <m/>
    <m/>
    <m/>
    <m/>
    <m/>
    <m/>
    <m/>
    <m/>
    <m/>
    <m/>
    <m/>
    <m/>
    <n v="7567.3314"/>
    <n v="-1021.3050000000012"/>
    <m/>
    <m/>
    <m/>
    <m/>
    <n v="-1018.3588800000006"/>
    <n v="0"/>
    <n v="31"/>
    <n v="-78.485634155992557"/>
    <n v="0"/>
    <n v="0"/>
    <n v="0"/>
    <n v="0"/>
    <n v="0"/>
    <n v="0"/>
    <n v="0"/>
    <n v="-5.9744772051221844"/>
    <n v="0"/>
    <n v="0"/>
    <n v="0"/>
    <n v="0"/>
    <n v="0"/>
    <n v="0"/>
    <n v="0"/>
    <n v="0"/>
    <n v="-62.336763245202974"/>
    <m/>
    <n v="0"/>
    <n v="0"/>
    <n v="0"/>
    <n v="0"/>
    <n v="-8.3271735917132474"/>
    <n v="-1.8472201139550393"/>
    <n v="0"/>
    <n v="0"/>
    <m/>
    <m/>
    <m/>
    <n v="5289.2248589252004"/>
    <n v="0"/>
    <n v="0"/>
    <n v="-1018.3588800000007"/>
    <n v="0"/>
    <n v="0"/>
    <n v="0"/>
    <n v="-939.86335202970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68"/>
    <s v="Regular"/>
    <s v="Convencional"/>
    <s v="B2"/>
    <s v="Rural"/>
    <s v="Não se aplica"/>
    <s v="Não se aplica"/>
    <s v="Não se aplica"/>
    <s v="Não se aplica"/>
    <s v="CATIVO"/>
    <x v="8"/>
    <n v="0"/>
    <n v="0"/>
    <n v="220.846"/>
    <n v="220.846"/>
    <n v="220.846"/>
    <n v="220.846"/>
    <m/>
    <n v="707.13"/>
    <n v="119.97"/>
    <m/>
    <n v="182661.72659999999"/>
    <n v="182661.72659999999"/>
    <n v="161003.35938000001"/>
    <n v="0"/>
    <n v="13448.390575309953"/>
    <n v="0"/>
    <n v="0"/>
    <n v="0"/>
    <n v="23749.604548799914"/>
    <n v="112490.76976061198"/>
    <n v="26495.743236993585"/>
    <n v="0"/>
    <n v="0"/>
    <n v="0"/>
    <n v="0"/>
    <n v="0"/>
    <n v="2078.210751067325"/>
    <m/>
    <n v="475.105724009028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24.9664332413049"/>
    <n v="0"/>
    <n v="0"/>
    <n v="0"/>
    <n v="27892.04"/>
    <n v="700"/>
    <m/>
    <m/>
    <m/>
    <m/>
    <m/>
    <n v="19319.608079999984"/>
    <m/>
    <m/>
    <m/>
    <n v="30420.70967023489"/>
    <m/>
    <m/>
    <m/>
    <m/>
    <m/>
    <m/>
    <m/>
    <m/>
    <m/>
    <m/>
    <m/>
    <m/>
    <n v="141686.3175"/>
    <n v="-19058.682060000021"/>
    <m/>
    <m/>
    <m/>
    <m/>
    <n v="-21658.367220000011"/>
    <n v="0"/>
    <n v="31"/>
    <n v="-1669.2255740383698"/>
    <n v="0"/>
    <n v="0"/>
    <n v="0"/>
    <n v="0"/>
    <n v="0"/>
    <n v="0"/>
    <n v="0"/>
    <n v="-127.06465647557707"/>
    <n v="0"/>
    <n v="0"/>
    <n v="0"/>
    <n v="0"/>
    <n v="0"/>
    <n v="0"/>
    <n v="0"/>
    <n v="0"/>
    <n v="-1325.7728058214652"/>
    <m/>
    <n v="0"/>
    <n v="0"/>
    <n v="0"/>
    <n v="0"/>
    <n v="-177.10159659432816"/>
    <n v="-39.286515147006469"/>
    <n v="0"/>
    <n v="0"/>
    <m/>
    <m/>
    <m/>
    <n v="112490.76976061198"/>
    <n v="0"/>
    <n v="0"/>
    <n v="-21658.367219999986"/>
    <n v="0"/>
    <n v="0"/>
    <n v="0"/>
    <n v="-19988.931225188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69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18.504999999999999"/>
    <n v="18.504999999999999"/>
    <n v="18.504999999999999"/>
    <n v="18.504999999999999"/>
    <m/>
    <n v="707.13"/>
    <n v="119.97"/>
    <m/>
    <n v="15305.485499999999"/>
    <n v="15305.485499999999"/>
    <n v="13490.700149999999"/>
    <n v="0"/>
    <n v="1126.8597465931493"/>
    <n v="0"/>
    <n v="0"/>
    <n v="0"/>
    <n v="1990.013095892805"/>
    <n v="9425.7613650241547"/>
    <n v="2220.1159568231542"/>
    <n v="0"/>
    <n v="0"/>
    <n v="0"/>
    <n v="0"/>
    <n v="0"/>
    <n v="174.13623044338971"/>
    <m/>
    <n v="39.809783391082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8.87851193650931"/>
    <n v="0"/>
    <n v="0"/>
    <n v="0"/>
    <n v="7169.77"/>
    <n v="17"/>
    <m/>
    <m/>
    <m/>
    <m/>
    <m/>
    <n v="1618.8173999999983"/>
    <m/>
    <m/>
    <m/>
    <n v="2548.9944687596635"/>
    <m/>
    <m/>
    <m/>
    <m/>
    <m/>
    <m/>
    <m/>
    <m/>
    <m/>
    <m/>
    <m/>
    <m/>
    <n v="11875.0905"/>
    <n v="-1593.9887999999992"/>
    <m/>
    <m/>
    <m/>
    <m/>
    <n v="-1814.7853500000008"/>
    <n v="0"/>
    <n v="31"/>
    <n v="-139.86678159251278"/>
    <n v="0"/>
    <n v="0"/>
    <n v="0"/>
    <n v="0"/>
    <n v="0"/>
    <n v="0"/>
    <n v="0"/>
    <n v="-10.646928031662583"/>
    <n v="0"/>
    <n v="0"/>
    <n v="0"/>
    <n v="0"/>
    <n v="0"/>
    <n v="0"/>
    <n v="0"/>
    <n v="0"/>
    <n v="-111.08838634942992"/>
    <m/>
    <n v="0"/>
    <n v="0"/>
    <n v="0"/>
    <n v="0"/>
    <n v="-14.839594309962791"/>
    <n v="-3.2918729014578219"/>
    <n v="0"/>
    <n v="0"/>
    <m/>
    <m/>
    <m/>
    <n v="9425.7613650241547"/>
    <n v="0"/>
    <n v="0"/>
    <n v="-1814.7853500000001"/>
    <n v="0"/>
    <n v="0"/>
    <n v="0"/>
    <n v="-1674.9009369520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70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-5.4939999999999998"/>
    <n v="-5.4939999999999998"/>
    <n v="-5.4939999999999998"/>
    <n v="-5.4939999999999998"/>
    <m/>
    <n v="707.13"/>
    <n v="119.97"/>
    <m/>
    <n v="-4544.0873999999994"/>
    <n v="-4544.0873999999994"/>
    <n v="-4005.2908199999993"/>
    <n v="0"/>
    <n v="-334.55646840220282"/>
    <n v="0"/>
    <n v="0"/>
    <n v="0"/>
    <n v="-590.82042414672094"/>
    <n v="-2798.4400399590763"/>
    <n v="-659.13629109896829"/>
    <n v="0"/>
    <n v="0"/>
    <n v="0"/>
    <n v="0"/>
    <n v="0"/>
    <n v="-51.699781143257667"/>
    <m/>
    <n v="-11.8192353391304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7.64163980433301"/>
    <n v="0"/>
    <n v="0"/>
    <n v="0"/>
    <n v="-1174.9000000000001"/>
    <n v="2"/>
    <m/>
    <m/>
    <m/>
    <m/>
    <m/>
    <n v="-480.61511999999959"/>
    <m/>
    <m/>
    <m/>
    <n v="-756.77793090330124"/>
    <m/>
    <m/>
    <m/>
    <m/>
    <m/>
    <m/>
    <m/>
    <m/>
    <m/>
    <m/>
    <m/>
    <m/>
    <n v="-3522.1095"/>
    <n v="476.7233399999991"/>
    <m/>
    <m/>
    <m/>
    <m/>
    <n v="538.79658000000029"/>
    <n v="0"/>
    <n v="31"/>
    <n v="41.525430860268671"/>
    <n v="0"/>
    <n v="0"/>
    <n v="0"/>
    <n v="0"/>
    <n v="0"/>
    <n v="0"/>
    <n v="0"/>
    <n v="3.1609955474712024"/>
    <n v="0"/>
    <n v="0"/>
    <n v="0"/>
    <n v="0"/>
    <n v="0"/>
    <n v="0"/>
    <n v="0"/>
    <n v="0"/>
    <n v="32.981334482775935"/>
    <m/>
    <n v="0"/>
    <n v="0"/>
    <n v="0"/>
    <n v="0"/>
    <n v="4.4057676919176174"/>
    <n v="0.97733313810371669"/>
    <n v="0"/>
    <n v="0"/>
    <m/>
    <m/>
    <m/>
    <n v="-2798.4400399590763"/>
    <n v="0"/>
    <n v="0"/>
    <n v="538.79658000000018"/>
    <n v="0"/>
    <n v="0"/>
    <n v="0"/>
    <n v="497.26591448875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71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5.332999999999998"/>
    <n v="25.332999999999998"/>
    <n v="25.332999999999998"/>
    <n v="25.332999999999998"/>
    <m/>
    <n v="707.13"/>
    <n v="119.97"/>
    <m/>
    <n v="20952.924299999999"/>
    <n v="20952.924299999999"/>
    <n v="18468.516989999996"/>
    <n v="0"/>
    <n v="1542.6499843525671"/>
    <n v="0"/>
    <n v="0"/>
    <n v="0"/>
    <n v="2724.2908272495233"/>
    <n v="12903.691578500779"/>
    <n v="3039.2973539152099"/>
    <n v="0"/>
    <n v="0"/>
    <n v="0"/>
    <n v="0"/>
    <n v="0"/>
    <n v="238.38925294906196"/>
    <m/>
    <n v="54.498851264323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0.22855135842156"/>
    <n v="0"/>
    <n v="0"/>
    <n v="0"/>
    <n v="5751.57"/>
    <n v="83"/>
    <m/>
    <m/>
    <m/>
    <m/>
    <m/>
    <m/>
    <m/>
    <m/>
    <m/>
    <n v="3489.5259052736315"/>
    <m/>
    <m/>
    <m/>
    <m/>
    <m/>
    <m/>
    <m/>
    <m/>
    <m/>
    <m/>
    <m/>
    <m/>
    <n v="18466.329899999997"/>
    <n v="-2486.624399999997"/>
    <m/>
    <m/>
    <m/>
    <m/>
    <n v="-2484.407310000001"/>
    <n v="0"/>
    <n v="31"/>
    <n v="-191.47501637844562"/>
    <n v="0"/>
    <n v="0"/>
    <n v="0"/>
    <n v="0"/>
    <n v="0"/>
    <n v="0"/>
    <n v="0"/>
    <n v="-14.575445978173775"/>
    <n v="0"/>
    <n v="0"/>
    <n v="0"/>
    <n v="0"/>
    <n v="0"/>
    <n v="0"/>
    <n v="0"/>
    <n v="0"/>
    <n v="-152.07792982383739"/>
    <m/>
    <n v="0"/>
    <n v="0"/>
    <n v="0"/>
    <n v="0"/>
    <n v="-20.315127946732616"/>
    <n v="-4.5065126297017599"/>
    <n v="0"/>
    <n v="0"/>
    <m/>
    <m/>
    <m/>
    <n v="12903.691578500779"/>
    <n v="0"/>
    <n v="0"/>
    <n v="-2484.4073100000005"/>
    <n v="0"/>
    <n v="0"/>
    <n v="0"/>
    <n v="-2292.908156487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72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84.697999999999993"/>
    <n v="84.697999999999993"/>
    <n v="84.697999999999993"/>
    <n v="84.697999999999993"/>
    <m/>
    <n v="388.92"/>
    <n v="65.989999999999995"/>
    <m/>
    <n v="38529.967179999992"/>
    <n v="38529.967179999992"/>
    <n v="33961.357059999995"/>
    <n v="0"/>
    <n v="2836.7209807792856"/>
    <n v="0"/>
    <n v="0"/>
    <n v="0"/>
    <n v="5009.5958420838015"/>
    <n v="23728.112664260949"/>
    <n v="5588.8494850610123"/>
    <n v="0"/>
    <n v="0"/>
    <n v="0"/>
    <n v="0"/>
    <n v="0"/>
    <n v="438.36502271558072"/>
    <m/>
    <n v="100.21588589634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7.90833354223957"/>
    <n v="0"/>
    <n v="0"/>
    <n v="0"/>
    <n v="11320.44"/>
    <n v="2"/>
    <m/>
    <m/>
    <m/>
    <m/>
    <m/>
    <m/>
    <m/>
    <m/>
    <m/>
    <n v="6416.7578186032515"/>
    <m/>
    <m/>
    <m/>
    <m/>
    <m/>
    <m/>
    <m/>
    <m/>
    <m/>
    <m/>
    <m/>
    <m/>
    <n v="33962.159000000007"/>
    <n v="-4567.8381799999916"/>
    <m/>
    <m/>
    <m/>
    <m/>
    <n v="-4568.6101199999994"/>
    <n v="0"/>
    <n v="31"/>
    <n v="-352.09619924494655"/>
    <n v="0"/>
    <n v="0"/>
    <n v="0"/>
    <n v="0"/>
    <n v="0"/>
    <n v="0"/>
    <n v="0"/>
    <n v="-26.802238894049879"/>
    <n v="0"/>
    <n v="0"/>
    <n v="0"/>
    <n v="0"/>
    <n v="0"/>
    <n v="0"/>
    <n v="0"/>
    <n v="0"/>
    <n v="-279.65037994397471"/>
    <m/>
    <n v="0"/>
    <n v="0"/>
    <n v="0"/>
    <n v="0"/>
    <n v="-37.35672398680714"/>
    <n v="-8.2868564201149866"/>
    <n v="0"/>
    <n v="0"/>
    <m/>
    <m/>
    <m/>
    <n v="23728.112664260949"/>
    <n v="0"/>
    <n v="0"/>
    <n v="-4568.6101199999976"/>
    <n v="0"/>
    <n v="0"/>
    <n v="0"/>
    <n v="-4216.342488888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73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4.4809999999999999"/>
    <n v="4.2121399999999998"/>
    <n v="4.4809999999999999"/>
    <n v="4.2121399999999998"/>
    <m/>
    <n v="707.13"/>
    <n v="119.97"/>
    <m/>
    <n v="3706.2350999999999"/>
    <n v="3706.2350999999999"/>
    <n v="3266.7834299999995"/>
    <n v="0"/>
    <n v="272.86995538956512"/>
    <n v="0"/>
    <n v="0"/>
    <n v="0"/>
    <n v="481.88320360419664"/>
    <n v="2282.4553729626177"/>
    <n v="537.60278857198341"/>
    <n v="0"/>
    <n v="0"/>
    <n v="0"/>
    <n v="0"/>
    <n v="0"/>
    <n v="42.167222297586022"/>
    <m/>
    <n v="9.6399697041578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.638184922318203"/>
    <n v="0"/>
    <n v="0"/>
    <n v="0"/>
    <n v="1023.56"/>
    <n v="7"/>
    <m/>
    <m/>
    <m/>
    <m/>
    <n v="196.00700580000006"/>
    <m/>
    <m/>
    <m/>
    <m/>
    <n v="617.24097349430167"/>
    <m/>
    <m/>
    <m/>
    <m/>
    <m/>
    <m/>
    <m/>
    <m/>
    <m/>
    <m/>
    <m/>
    <m/>
    <n v="3069.2162999999996"/>
    <n v="-414.67469400000073"/>
    <m/>
    <m/>
    <m/>
    <m/>
    <n v="-439.45167000000021"/>
    <n v="0"/>
    <n v="31"/>
    <n v="-33.868848868740997"/>
    <n v="0"/>
    <n v="0"/>
    <n v="0"/>
    <n v="0"/>
    <n v="0"/>
    <n v="0"/>
    <n v="0"/>
    <n v="-2.5781618216632864"/>
    <n v="0"/>
    <n v="0"/>
    <n v="0"/>
    <n v="0"/>
    <n v="0"/>
    <n v="0"/>
    <n v="0"/>
    <n v="0"/>
    <n v="-26.900138299475572"/>
    <m/>
    <n v="0"/>
    <n v="0"/>
    <n v="0"/>
    <n v="0"/>
    <n v="-3.5934191895673209"/>
    <n v="-0.79712955803472063"/>
    <n v="0"/>
    <n v="0"/>
    <m/>
    <m/>
    <m/>
    <n v="2282.4553729626177"/>
    <n v="0"/>
    <n v="0"/>
    <n v="-439.45166999999992"/>
    <n v="0"/>
    <n v="0"/>
    <n v="0"/>
    <n v="-405.57855166073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74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4.077"/>
    <n v="3.8323800000000001"/>
    <n v="4.077"/>
    <n v="3.8323800000000001"/>
    <m/>
    <n v="3312.96"/>
    <n v="119.97"/>
    <m/>
    <n v="13996.055609999999"/>
    <n v="13996.055609999999"/>
    <n v="12148.685369999999"/>
    <n v="0"/>
    <n v="215.99352891480319"/>
    <n v="0"/>
    <n v="0"/>
    <n v="0"/>
    <n v="3048.1242213078949"/>
    <n v="10164.738935867332"/>
    <n v="489.13335617227773"/>
    <n v="0"/>
    <n v="0"/>
    <n v="0"/>
    <n v="0"/>
    <n v="0"/>
    <n v="38.365491030407995"/>
    <m/>
    <n v="3.42766433363826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300985869824963"/>
    <n v="0"/>
    <n v="0"/>
    <n v="0"/>
    <n v="0"/>
    <n v="0"/>
    <m/>
    <m/>
    <m/>
    <m/>
    <n v="728.92112219999956"/>
    <m/>
    <m/>
    <m/>
    <m/>
    <n v="525.43434204210268"/>
    <m/>
    <m/>
    <m/>
    <m/>
    <m/>
    <m/>
    <m/>
    <m/>
    <m/>
    <m/>
    <m/>
    <m/>
    <n v="11412.6723"/>
    <n v="-1743.6499734000008"/>
    <m/>
    <m/>
    <m/>
    <m/>
    <n v="-1847.3702399999995"/>
    <n v="0"/>
    <n v="31"/>
    <n v="-41.154020056395439"/>
    <n v="0"/>
    <n v="0"/>
    <n v="0"/>
    <n v="0"/>
    <n v="0"/>
    <n v="0"/>
    <n v="0"/>
    <n v="-16.308012888375742"/>
    <n v="0"/>
    <n v="0"/>
    <n v="0"/>
    <n v="0"/>
    <n v="0"/>
    <n v="0"/>
    <n v="0"/>
    <n v="0"/>
    <n v="-21.293131342748552"/>
    <m/>
    <n v="0"/>
    <n v="0"/>
    <n v="0"/>
    <n v="0"/>
    <n v="-3.2694420968234681"/>
    <n v="-0.28343372844687575"/>
    <n v="0"/>
    <n v="0"/>
    <m/>
    <m/>
    <m/>
    <n v="10164.738935867332"/>
    <n v="0"/>
    <n v="0"/>
    <n v="-1847.3702400000002"/>
    <n v="0"/>
    <n v="0"/>
    <n v="0"/>
    <n v="-1806.2127936667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75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34.439"/>
    <n v="32.372660000000003"/>
    <n v="34.439"/>
    <n v="32.372660000000003"/>
    <m/>
    <n v="72.13"/>
    <n v="119.97"/>
    <m/>
    <n v="6615.7318999999989"/>
    <n v="6615.7318999999989"/>
    <n v="6405.9983899999997"/>
    <n v="0"/>
    <n v="1824.5281192781229"/>
    <n v="0"/>
    <n v="0"/>
    <n v="0"/>
    <n v="0"/>
    <n v="0"/>
    <n v="4131.7791643897654"/>
    <n v="0"/>
    <n v="0"/>
    <n v="0"/>
    <n v="0"/>
    <n v="0"/>
    <n v="324.07877007510939"/>
    <m/>
    <n v="28.953969091530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6.63960077775374"/>
    <n v="0"/>
    <n v="0"/>
    <n v="0"/>
    <n v="0"/>
    <n v="0"/>
    <m/>
    <m/>
    <m/>
    <m/>
    <n v="384.35990339999944"/>
    <m/>
    <m/>
    <m/>
    <m/>
    <n v="4438.4187651675193"/>
    <m/>
    <m/>
    <m/>
    <m/>
    <m/>
    <m/>
    <m/>
    <m/>
    <m/>
    <m/>
    <m/>
    <m/>
    <n v="6021.1436999999996"/>
    <n v="-197.6742860000013"/>
    <m/>
    <m/>
    <m/>
    <m/>
    <n v="-209.73350999999963"/>
    <n v="0"/>
    <n v="31"/>
    <n v="-209.87776327186748"/>
    <n v="0"/>
    <n v="0"/>
    <n v="0"/>
    <n v="0"/>
    <n v="0"/>
    <n v="0"/>
    <n v="0"/>
    <n v="0"/>
    <n v="0"/>
    <n v="0"/>
    <n v="0"/>
    <n v="0"/>
    <n v="0"/>
    <n v="0"/>
    <n v="0"/>
    <n v="0"/>
    <n v="-179.86611486703873"/>
    <m/>
    <n v="0"/>
    <n v="0"/>
    <n v="0"/>
    <n v="0"/>
    <n v="-27.617443309419571"/>
    <n v="-2.3942050954088678"/>
    <n v="0"/>
    <n v="0"/>
    <m/>
    <m/>
    <m/>
    <n v="0"/>
    <n v="0"/>
    <n v="0"/>
    <n v="-209.7335099999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76"/>
    <s v="Regular"/>
    <s v="Verde"/>
    <s v="A4"/>
    <s v="Serviço público"/>
    <s v="Água, esgoto e saneamento"/>
    <s v="Não se aplica"/>
    <s v="Não se aplica"/>
    <s v="Não se aplica"/>
    <s v="CATIVO"/>
    <x v="8"/>
    <n v="100"/>
    <n v="94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090.26"/>
    <n v="1"/>
    <m/>
    <m/>
    <m/>
    <m/>
    <n v="246.89999999999998"/>
    <m/>
    <m/>
    <m/>
    <m/>
    <n v="0"/>
    <m/>
    <m/>
    <m/>
    <m/>
    <m/>
    <m/>
    <m/>
    <m/>
    <m/>
    <m/>
    <m/>
    <m/>
    <n v="3868.1"/>
    <n v="-483.19000000000096"/>
    <m/>
    <m/>
    <m/>
    <m/>
    <n v="-514"/>
    <n v="0"/>
    <n v="31"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277"/>
    <s v="Regular"/>
    <s v="Convencional"/>
    <s v="B1"/>
    <s v="Residencial"/>
    <s v="Residencial"/>
    <s v="Não se aplica"/>
    <s v="Não se aplica"/>
    <s v="Não se aplica"/>
    <s v="CATIVO"/>
    <x v="9"/>
    <n v="0"/>
    <n v="0"/>
    <n v="660.55600000000004"/>
    <n v="660.55600000000004"/>
    <n v="660.55600000000004"/>
    <n v="660.55600000000004"/>
    <m/>
    <n v="707.13"/>
    <n v="119.97"/>
    <m/>
    <n v="546345.8676"/>
    <n v="546345.8676"/>
    <n v="481565.14067999995"/>
    <n v="0"/>
    <n v="40224.478074606028"/>
    <n v="0"/>
    <n v="0"/>
    <n v="0"/>
    <n v="71035.670930589986"/>
    <n v="336462.75191758428"/>
    <n v="79249.441555000027"/>
    <n v="0"/>
    <n v="0"/>
    <n v="0"/>
    <n v="0"/>
    <n v="0"/>
    <n v="6215.9811854506215"/>
    <m/>
    <n v="1421.0532979021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39.674376154167"/>
    <n v="0"/>
    <n v="0"/>
    <n v="0"/>
    <n v="109669.62"/>
    <n v="3096"/>
    <m/>
    <m/>
    <m/>
    <m/>
    <m/>
    <m/>
    <m/>
    <m/>
    <m/>
    <n v="90989.1159311542"/>
    <m/>
    <m/>
    <m/>
    <m/>
    <m/>
    <m/>
    <m/>
    <m/>
    <m/>
    <m/>
    <m/>
    <m/>
    <n v="481568.0567999999"/>
    <n v="-64777.840800000122"/>
    <m/>
    <m/>
    <m/>
    <m/>
    <n v="-64780.726920000037"/>
    <n v="0"/>
    <n v="30"/>
    <n v="-4992.6961243785045"/>
    <n v="0"/>
    <n v="0"/>
    <n v="0"/>
    <n v="0"/>
    <n v="0"/>
    <n v="0"/>
    <n v="0"/>
    <n v="-380.0536175564921"/>
    <n v="0"/>
    <n v="0"/>
    <n v="0"/>
    <n v="0"/>
    <n v="0"/>
    <n v="0"/>
    <n v="0"/>
    <n v="0"/>
    <n v="-3965.4201639251114"/>
    <m/>
    <n v="0"/>
    <n v="0"/>
    <n v="0"/>
    <n v="0"/>
    <n v="-529.71537741214706"/>
    <n v="-117.50696548475412"/>
    <n v="0"/>
    <n v="0"/>
    <m/>
    <m/>
    <m/>
    <n v="336462.75191758428"/>
    <n v="0"/>
    <n v="0"/>
    <n v="-64780.726920000045"/>
    <n v="0"/>
    <n v="0"/>
    <n v="0"/>
    <n v="-59787.401421738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78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100.9"/>
    <n v="-100.9"/>
    <n v="-100.9"/>
    <n v="-100.9"/>
    <m/>
    <n v="707.13"/>
    <n v="119.97"/>
    <m/>
    <n v="-83454.39"/>
    <n v="-83454.39"/>
    <n v="-73559.126999999993"/>
    <n v="0"/>
    <n v="-6144.2933494325207"/>
    <n v="0"/>
    <n v="0"/>
    <n v="0"/>
    <n v="-10850.706369931588"/>
    <n v="-51394.721520180348"/>
    <n v="-12105.360715669076"/>
    <n v="0"/>
    <n v="0"/>
    <n v="0"/>
    <n v="0"/>
    <n v="0"/>
    <n v="-949.49179420362202"/>
    <m/>
    <n v="-217.066043996771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793.236522798908"/>
    <n v="0"/>
    <n v="0"/>
    <n v="0"/>
    <n v="-24459.24"/>
    <n v="0"/>
    <m/>
    <m/>
    <m/>
    <m/>
    <m/>
    <m/>
    <m/>
    <m/>
    <m/>
    <n v="-13898.597238467984"/>
    <m/>
    <m/>
    <m/>
    <m/>
    <m/>
    <m/>
    <m/>
    <m/>
    <m/>
    <m/>
    <m/>
    <m/>
    <n v="-73559.126999999993"/>
    <n v="9895.233000000022"/>
    <m/>
    <m/>
    <m/>
    <m/>
    <n v="9895.2630000000063"/>
    <n v="0"/>
    <n v="30"/>
    <n v="762.63486963980904"/>
    <n v="0"/>
    <n v="0"/>
    <n v="0"/>
    <n v="0"/>
    <n v="0"/>
    <n v="0"/>
    <n v="0"/>
    <n v="58.053230931896906"/>
    <n v="0"/>
    <n v="0"/>
    <n v="0"/>
    <n v="0"/>
    <n v="0"/>
    <n v="0"/>
    <n v="0"/>
    <n v="0"/>
    <n v="605.71835626357733"/>
    <m/>
    <n v="0"/>
    <n v="0"/>
    <n v="0"/>
    <n v="0"/>
    <n v="80.914080836273797"/>
    <n v="17.949201608056967"/>
    <n v="0"/>
    <n v="0"/>
    <m/>
    <m/>
    <m/>
    <n v="-51394.721520180348"/>
    <n v="0"/>
    <n v="0"/>
    <n v="9895.2630000000063"/>
    <n v="0"/>
    <n v="0"/>
    <n v="0"/>
    <n v="9132.5319934319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79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14.672000000000001"/>
    <n v="14.672000000000001"/>
    <n v="14.672000000000001"/>
    <n v="14.672000000000001"/>
    <m/>
    <n v="707.13"/>
    <n v="119.97"/>
    <m/>
    <n v="12135.2112"/>
    <n v="12135.2112"/>
    <n v="10696.328159999999"/>
    <n v="0"/>
    <n v="893.44967317020746"/>
    <n v="0"/>
    <n v="0"/>
    <n v="0"/>
    <n v="1577.8153008883673"/>
    <n v="7473.373182795699"/>
    <n v="1760.2562182388176"/>
    <n v="0"/>
    <n v="0"/>
    <n v="0"/>
    <n v="0"/>
    <n v="0"/>
    <n v="138.06683453474272"/>
    <m/>
    <n v="31.5638552777069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.75685096635857"/>
    <n v="0"/>
    <n v="0"/>
    <n v="0"/>
    <n v="5435.5"/>
    <n v="54"/>
    <m/>
    <m/>
    <m/>
    <m/>
    <m/>
    <m/>
    <m/>
    <m/>
    <m/>
    <n v="2021.0130692051762"/>
    <m/>
    <m/>
    <m/>
    <m/>
    <m/>
    <m/>
    <m/>
    <m/>
    <m/>
    <m/>
    <m/>
    <m/>
    <n v="10694.870099999998"/>
    <n v="-1440.3711000000021"/>
    <m/>
    <m/>
    <m/>
    <m/>
    <n v="-1438.8830400000008"/>
    <n v="0"/>
    <n v="30"/>
    <n v="-110.89572653473988"/>
    <n v="0"/>
    <n v="0"/>
    <n v="0"/>
    <n v="0"/>
    <n v="0"/>
    <n v="0"/>
    <n v="0"/>
    <n v="-8.4415956811972137"/>
    <n v="0"/>
    <n v="0"/>
    <n v="0"/>
    <n v="0"/>
    <n v="0"/>
    <n v="0"/>
    <n v="0"/>
    <n v="0"/>
    <n v="-88.078292597613427"/>
    <m/>
    <n v="0"/>
    <n v="0"/>
    <n v="0"/>
    <n v="0"/>
    <n v="-11.76582154638065"/>
    <n v="-2.6100167095481837"/>
    <n v="0"/>
    <n v="0"/>
    <m/>
    <m/>
    <m/>
    <n v="7473.373182795699"/>
    <n v="0"/>
    <n v="0"/>
    <n v="-1438.8830400000006"/>
    <n v="0"/>
    <n v="0"/>
    <n v="0"/>
    <n v="-1327.9733340697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80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5.58"/>
    <n v="5.58"/>
    <n v="5.58"/>
    <n v="5.58"/>
    <m/>
    <n v="636.83000000000004"/>
    <n v="119.97"/>
    <m/>
    <n v="4222.9440000000004"/>
    <n v="4222.9440000000004"/>
    <n v="3713.6574000000001"/>
    <n v="0"/>
    <n v="0"/>
    <n v="0"/>
    <n v="0"/>
    <n v="0"/>
    <n v="600.06879627570129"/>
    <n v="2842.2452535441657"/>
    <n v="669.45404156029178"/>
    <n v="0"/>
    <n v="0"/>
    <n v="0"/>
    <n v="0"/>
    <n v="0"/>
    <n v="0"/>
    <m/>
    <n v="12.0042470317342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170067365886098"/>
    <n v="0"/>
    <n v="0"/>
    <n v="0"/>
    <n v="176.7"/>
    <n v="14"/>
    <m/>
    <m/>
    <m/>
    <m/>
    <m/>
    <m/>
    <m/>
    <n v="2413.8521999999998"/>
    <m/>
    <n v="768.62410892617788"/>
    <m/>
    <m/>
    <m/>
    <m/>
    <m/>
    <m/>
    <m/>
    <m/>
    <m/>
    <m/>
    <m/>
    <m/>
    <n v="1299.8052"/>
    <n v="-178.25519999999983"/>
    <m/>
    <m/>
    <m/>
    <m/>
    <n v="-509.28660000000053"/>
    <n v="0"/>
    <n v="30"/>
    <n v="-4.2031077658368758"/>
    <n v="0"/>
    <n v="0"/>
    <n v="0"/>
    <n v="0"/>
    <n v="0"/>
    <n v="0"/>
    <n v="0"/>
    <n v="-3.2104760019819878"/>
    <n v="0"/>
    <n v="0"/>
    <n v="0"/>
    <n v="0"/>
    <n v="0"/>
    <n v="0"/>
    <n v="0"/>
    <n v="0"/>
    <n v="0"/>
    <m/>
    <n v="0"/>
    <n v="0"/>
    <n v="0"/>
    <n v="0"/>
    <n v="0"/>
    <n v="-0.9926317638548845"/>
    <n v="0"/>
    <n v="0"/>
    <m/>
    <m/>
    <m/>
    <n v="2842.2452535441657"/>
    <n v="0"/>
    <n v="0"/>
    <n v="-509.28660000000036"/>
    <n v="0"/>
    <n v="0"/>
    <n v="0"/>
    <n v="-505.04983670317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81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1.378"/>
    <n v="11.378"/>
    <n v="11.378"/>
    <n v="11.378"/>
    <m/>
    <n v="636.83000000000004"/>
    <n v="119.97"/>
    <m/>
    <n v="8610.8704000000016"/>
    <n v="8610.8704000000016"/>
    <n v="7572.4003399999992"/>
    <n v="0"/>
    <n v="0"/>
    <n v="0"/>
    <n v="0"/>
    <n v="0"/>
    <n v="1223.5811405062598"/>
    <n v="5795.5316298970465"/>
    <n v="1365.062380801613"/>
    <n v="0"/>
    <n v="0"/>
    <n v="0"/>
    <n v="0"/>
    <n v="0"/>
    <n v="0"/>
    <m/>
    <n v="24.4774771912315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.21452087617419"/>
    <n v="0"/>
    <n v="0"/>
    <n v="0"/>
    <n v="619.16999999999996"/>
    <n v="27"/>
    <m/>
    <m/>
    <m/>
    <m/>
    <m/>
    <m/>
    <m/>
    <n v="3028.9373799999998"/>
    <m/>
    <n v="1567.2769016777872"/>
    <m/>
    <m/>
    <m/>
    <m/>
    <m/>
    <m/>
    <m/>
    <m/>
    <m/>
    <m/>
    <m/>
    <m/>
    <n v="4544.2615999999998"/>
    <n v="-622.29064000000108"/>
    <m/>
    <m/>
    <m/>
    <m/>
    <n v="-1038.470060000001"/>
    <n v="0"/>
    <n v="30"/>
    <n v="-8.5704229676866817"/>
    <n v="0"/>
    <n v="0"/>
    <n v="0"/>
    <n v="0"/>
    <n v="0"/>
    <n v="0"/>
    <n v="0"/>
    <n v="-6.5463792026077954"/>
    <n v="0"/>
    <n v="0"/>
    <n v="0"/>
    <n v="0"/>
    <n v="0"/>
    <n v="0"/>
    <n v="0"/>
    <n v="0"/>
    <n v="0"/>
    <m/>
    <n v="0"/>
    <n v="0"/>
    <n v="0"/>
    <n v="0"/>
    <n v="0"/>
    <n v="-2.0240437650790142"/>
    <n v="0"/>
    <n v="0"/>
    <m/>
    <m/>
    <m/>
    <n v="5795.5316298970465"/>
    <n v="0"/>
    <n v="0"/>
    <n v="-1038.4700600000015"/>
    <n v="0"/>
    <n v="0"/>
    <n v="0"/>
    <n v="-1029.8310111126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82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12.487"/>
    <n v="12.487"/>
    <n v="12.487"/>
    <n v="12.487"/>
    <m/>
    <n v="636.83000000000004"/>
    <n v="119.97"/>
    <m/>
    <n v="9450.1616000000013"/>
    <n v="9450.1616000000013"/>
    <n v="8310.473109999999"/>
    <n v="0"/>
    <n v="0"/>
    <n v="0"/>
    <n v="0"/>
    <n v="0"/>
    <n v="1342.8421252857852"/>
    <n v="6360.4151399652328"/>
    <n v="1498.1133722156567"/>
    <n v="0"/>
    <n v="0"/>
    <n v="0"/>
    <n v="0"/>
    <n v="0"/>
    <n v="0"/>
    <m/>
    <n v="26.863267506319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1.92412745480638"/>
    <n v="0"/>
    <n v="0"/>
    <n v="0"/>
    <n v="1747.89"/>
    <n v="79"/>
    <m/>
    <m/>
    <m/>
    <m/>
    <m/>
    <m/>
    <m/>
    <n v="830.88497999999936"/>
    <m/>
    <n v="1720.0374996704631"/>
    <m/>
    <m/>
    <m/>
    <m/>
    <m/>
    <m/>
    <m/>
    <m/>
    <m/>
    <m/>
    <m/>
    <m/>
    <n v="7481.3850999999995"/>
    <n v="-1023.7903400000014"/>
    <m/>
    <m/>
    <m/>
    <m/>
    <n v="-1139.6884900000011"/>
    <n v="0"/>
    <n v="30"/>
    <n v="-9.4057718050189578"/>
    <n v="0"/>
    <n v="0"/>
    <n v="0"/>
    <n v="0"/>
    <n v="0"/>
    <n v="0"/>
    <n v="0"/>
    <n v="-7.1844469241484603"/>
    <n v="0"/>
    <n v="0"/>
    <n v="0"/>
    <n v="0"/>
    <n v="0"/>
    <n v="0"/>
    <n v="0"/>
    <n v="0"/>
    <n v="0"/>
    <m/>
    <n v="0"/>
    <n v="0"/>
    <n v="0"/>
    <n v="0"/>
    <n v="0"/>
    <n v="-2.2213248808702417"/>
    <n v="0"/>
    <n v="0"/>
    <m/>
    <m/>
    <m/>
    <n v="6360.4151399652328"/>
    <n v="0"/>
    <n v="0"/>
    <n v="-1139.6884900000014"/>
    <n v="0"/>
    <n v="0"/>
    <n v="0"/>
    <n v="-1130.2074033893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83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6.2949999999999999"/>
    <n v="6.2949999999999999"/>
    <n v="6.2949999999999999"/>
    <n v="6.2949999999999999"/>
    <m/>
    <n v="636.83000000000004"/>
    <n v="119.97"/>
    <m/>
    <n v="4764.0560000000005"/>
    <n v="4764.0560000000005"/>
    <n v="4189.5113499999998"/>
    <n v="0"/>
    <n v="0"/>
    <n v="0"/>
    <n v="0"/>
    <n v="0"/>
    <n v="676.95933199920057"/>
    <n v="3206.4397618388034"/>
    <n v="755.235339000365"/>
    <n v="0"/>
    <n v="0"/>
    <n v="0"/>
    <n v="0"/>
    <n v="0"/>
    <n v="0"/>
    <m/>
    <n v="13.5424256388471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.87734302298441"/>
    <n v="0"/>
    <n v="0"/>
    <n v="0"/>
    <n v="1396.2"/>
    <n v="65"/>
    <m/>
    <m/>
    <m/>
    <m/>
    <m/>
    <m/>
    <m/>
    <m/>
    <m/>
    <n v="867.11268202334941"/>
    <m/>
    <m/>
    <m/>
    <m/>
    <m/>
    <m/>
    <m/>
    <m/>
    <m/>
    <m/>
    <m/>
    <m/>
    <n v="4192.838999999999"/>
    <n v="-571.24700000000212"/>
    <m/>
    <m/>
    <m/>
    <m/>
    <n v="-574.54465000000062"/>
    <n v="0"/>
    <n v="30"/>
    <n v="-4.7416780261546592"/>
    <n v="0"/>
    <n v="0"/>
    <n v="0"/>
    <n v="0"/>
    <n v="0"/>
    <n v="0"/>
    <n v="0"/>
    <n v="-3.6218541993684994"/>
    <n v="0"/>
    <n v="0"/>
    <n v="0"/>
    <n v="0"/>
    <n v="0"/>
    <n v="0"/>
    <n v="0"/>
    <n v="0"/>
    <n v="0"/>
    <m/>
    <n v="0"/>
    <n v="0"/>
    <n v="0"/>
    <n v="0"/>
    <n v="0"/>
    <n v="-1.1198238267861118"/>
    <n v="0"/>
    <n v="0"/>
    <m/>
    <m/>
    <m/>
    <n v="3206.4397618388034"/>
    <n v="0"/>
    <n v="0"/>
    <n v="-574.54465000000073"/>
    <n v="0"/>
    <n v="0"/>
    <n v="0"/>
    <n v="-569.76500395098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84"/>
    <s v="Regular"/>
    <s v="Convencional"/>
    <s v="B3"/>
    <s v="Industrial"/>
    <s v="Não se aplica"/>
    <s v="Não se aplica"/>
    <s v="Não se aplica"/>
    <s v="Não se aplica"/>
    <s v="CATIVO"/>
    <x v="9"/>
    <n v="0"/>
    <n v="0"/>
    <n v="151.81399999999999"/>
    <n v="151.81399999999999"/>
    <n v="151.81399999999999"/>
    <n v="151.81399999999999"/>
    <m/>
    <n v="707.13"/>
    <n v="119.97"/>
    <m/>
    <n v="125565.35939999999"/>
    <n v="125565.35939999999"/>
    <n v="110676.96041999999"/>
    <n v="0"/>
    <n v="9244.6952482730285"/>
    <n v="0"/>
    <n v="0"/>
    <n v="0"/>
    <n v="16325.957748709554"/>
    <n v="77328.426688450534"/>
    <n v="18213.70893645773"/>
    <n v="0"/>
    <n v="0"/>
    <n v="0"/>
    <n v="0"/>
    <n v="0"/>
    <n v="1428.6040361271423"/>
    <m/>
    <n v="326.59726861571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98.1011840653459"/>
    <n v="0"/>
    <n v="0"/>
    <n v="0"/>
    <n v="36892.050000000003"/>
    <n v="67"/>
    <m/>
    <m/>
    <m/>
    <m/>
    <m/>
    <m/>
    <m/>
    <m/>
    <m/>
    <n v="20911.810120523074"/>
    <m/>
    <m/>
    <m/>
    <m/>
    <m/>
    <m/>
    <m/>
    <m/>
    <m/>
    <m/>
    <m/>
    <m/>
    <n v="110674.04429999998"/>
    <n v="-14891.345099999991"/>
    <m/>
    <m/>
    <m/>
    <m/>
    <n v="-14888.398980000007"/>
    <n v="0"/>
    <n v="30"/>
    <n v="-1147.4593666947185"/>
    <n v="0"/>
    <n v="0"/>
    <n v="0"/>
    <n v="0"/>
    <n v="0"/>
    <n v="0"/>
    <n v="0"/>
    <n v="-87.346810710554564"/>
    <n v="0"/>
    <n v="0"/>
    <n v="0"/>
    <n v="0"/>
    <n v="0"/>
    <n v="0"/>
    <n v="0"/>
    <n v="0"/>
    <n v="-911.36299839245476"/>
    <m/>
    <n v="0"/>
    <n v="0"/>
    <n v="0"/>
    <n v="0"/>
    <n v="-121.74321375696809"/>
    <n v="-27.00634383474295"/>
    <n v="0"/>
    <n v="0"/>
    <m/>
    <m/>
    <m/>
    <n v="77328.426688450534"/>
    <n v="0"/>
    <n v="0"/>
    <n v="-14888.398980000013"/>
    <n v="0"/>
    <n v="0"/>
    <n v="0"/>
    <n v="-13740.794965816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85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3.6019999999999999"/>
    <n v="3.6019999999999999"/>
    <n v="3.6019999999999999"/>
    <n v="3.6019999999999999"/>
    <m/>
    <n v="707.13"/>
    <n v="119.97"/>
    <m/>
    <n v="2979.2141999999994"/>
    <n v="2979.2141999999994"/>
    <n v="2625.9660599999997"/>
    <n v="0"/>
    <n v="219.34335624039579"/>
    <n v="0"/>
    <n v="0"/>
    <n v="0"/>
    <n v="387.35623730915341"/>
    <n v="1834.7253410871119"/>
    <n v="432.14578094985143"/>
    <n v="0"/>
    <n v="0"/>
    <n v="0"/>
    <n v="0"/>
    <n v="0"/>
    <n v="33.895633723701152"/>
    <m/>
    <n v="7.7489781018470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016233450165174"/>
    <n v="0"/>
    <n v="0"/>
    <n v="0"/>
    <n v="1458.78"/>
    <n v="2"/>
    <m/>
    <m/>
    <m/>
    <m/>
    <m/>
    <m/>
    <m/>
    <m/>
    <m/>
    <n v="496.16201440001657"/>
    <m/>
    <m/>
    <m/>
    <m/>
    <m/>
    <m/>
    <m/>
    <m/>
    <m/>
    <m/>
    <m/>
    <m/>
    <n v="2624.5079999999998"/>
    <n v="-354.73620000000028"/>
    <m/>
    <m/>
    <m/>
    <m/>
    <n v="-353.24814000000015"/>
    <n v="0"/>
    <n v="30"/>
    <n v="-27.225082264049433"/>
    <n v="0"/>
    <n v="0"/>
    <n v="0"/>
    <n v="0"/>
    <n v="0"/>
    <n v="0"/>
    <n v="0"/>
    <n v="-2.0724255482328431"/>
    <n v="0"/>
    <n v="0"/>
    <n v="0"/>
    <n v="0"/>
    <n v="0"/>
    <n v="0"/>
    <n v="0"/>
    <n v="0"/>
    <n v="-21.623364908438077"/>
    <m/>
    <n v="0"/>
    <n v="0"/>
    <n v="0"/>
    <n v="0"/>
    <n v="-2.888528435800378"/>
    <n v="-0.64076337157800989"/>
    <n v="0"/>
    <n v="0"/>
    <m/>
    <m/>
    <m/>
    <n v="1834.7253410871119"/>
    <n v="0"/>
    <n v="0"/>
    <n v="-353.24814000000015"/>
    <n v="0"/>
    <n v="0"/>
    <n v="0"/>
    <n v="-326.01962577147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86"/>
    <s v="Regular"/>
    <s v="Verde"/>
    <s v="A4"/>
    <s v="Industrial"/>
    <s v="Não se aplica"/>
    <s v="Não se aplica"/>
    <s v="Não se aplica"/>
    <s v="Ponta"/>
    <s v="CATIVO"/>
    <x v="9"/>
    <n v="0"/>
    <n v="0"/>
    <n v="98.912999999999997"/>
    <n v="98.912999999999997"/>
    <n v="98.912999999999997"/>
    <n v="98.912999999999997"/>
    <m/>
    <n v="3312.96"/>
    <n v="119.97"/>
    <m/>
    <n v="339561.40508999996"/>
    <n v="339561.40508999996"/>
    <n v="294741.94653000002"/>
    <n v="0"/>
    <n v="5240.2668446283851"/>
    <n v="0"/>
    <n v="0"/>
    <n v="0"/>
    <n v="73951.216851171892"/>
    <n v="246608.98267437954"/>
    <n v="11866.972690475473"/>
    <n v="0"/>
    <n v="0"/>
    <n v="0"/>
    <n v="0"/>
    <n v="0"/>
    <n v="930.79367532272397"/>
    <m/>
    <n v="83.159323579387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0.70625836202998"/>
    <n v="0"/>
    <n v="0"/>
    <n v="0"/>
    <n v="0"/>
    <n v="0"/>
    <m/>
    <m/>
    <m/>
    <m/>
    <m/>
    <m/>
    <m/>
    <m/>
    <m/>
    <n v="12747.678948837503"/>
    <m/>
    <m/>
    <m/>
    <m/>
    <m/>
    <m/>
    <m/>
    <m/>
    <m/>
    <m/>
    <m/>
    <m/>
    <n v="294733.00709999999"/>
    <n v="-44828.427989999996"/>
    <m/>
    <m/>
    <m/>
    <m/>
    <n v="-44819.458559999985"/>
    <n v="0"/>
    <n v="30"/>
    <n v="-998.44679564338003"/>
    <n v="0"/>
    <n v="0"/>
    <n v="0"/>
    <n v="0"/>
    <n v="0"/>
    <n v="0"/>
    <n v="0"/>
    <n v="-395.65231268772914"/>
    <n v="0"/>
    <n v="0"/>
    <n v="0"/>
    <n v="0"/>
    <n v="0"/>
    <n v="0"/>
    <n v="0"/>
    <n v="0"/>
    <n v="-516.59737564515217"/>
    <m/>
    <n v="0"/>
    <n v="0"/>
    <n v="0"/>
    <n v="0"/>
    <n v="-79.320658847951904"/>
    <n v="-6.8764484625621378"/>
    <n v="0"/>
    <n v="0"/>
    <m/>
    <m/>
    <m/>
    <n v="246608.98267437954"/>
    <n v="0"/>
    <n v="0"/>
    <n v="-44819.458559999941"/>
    <n v="0"/>
    <n v="0"/>
    <n v="0"/>
    <n v="-43820.928638695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87"/>
    <s v="Sistema de Compensação"/>
    <s v="Verde"/>
    <s v="A4"/>
    <s v="Industrial"/>
    <s v="Não se aplica"/>
    <s v="Não se aplica"/>
    <s v="Não se aplica"/>
    <s v="Ponta"/>
    <s v="CATIVO"/>
    <x v="9"/>
    <n v="0"/>
    <n v="0"/>
    <n v="3.0649999999999999"/>
    <n v="3.0649999999999999"/>
    <n v="3.0649999999999999"/>
    <n v="3.0649999999999999"/>
    <m/>
    <n v="3312.96"/>
    <n v="119.97"/>
    <m/>
    <n v="10521.93045"/>
    <n v="10521.93045"/>
    <n v="9133.1176500000001"/>
    <n v="0"/>
    <n v="162.3792411390414"/>
    <n v="0"/>
    <n v="0"/>
    <n v="0"/>
    <n v="2291.5135487634775"/>
    <n v="7641.6298352792182"/>
    <n v="367.71982748786638"/>
    <n v="0"/>
    <n v="0"/>
    <n v="0"/>
    <n v="0"/>
    <n v="0"/>
    <n v="28.842342410645205"/>
    <m/>
    <n v="2.57684355717470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290292296054332"/>
    <n v="0"/>
    <n v="0"/>
    <n v="0"/>
    <n v="0"/>
    <n v="0"/>
    <m/>
    <m/>
    <m/>
    <m/>
    <m/>
    <m/>
    <m/>
    <m/>
    <m/>
    <n v="395.01011978392069"/>
    <m/>
    <m/>
    <m/>
    <m/>
    <m/>
    <m/>
    <m/>
    <m/>
    <m/>
    <m/>
    <m/>
    <m/>
    <n v="9148.0167000000001"/>
    <n v="-1373.9437500000004"/>
    <m/>
    <m/>
    <m/>
    <m/>
    <n v="-1388.8127999999997"/>
    <n v="0"/>
    <n v="30"/>
    <n v="-30.938697933002459"/>
    <n v="0"/>
    <n v="0"/>
    <n v="0"/>
    <n v="0"/>
    <n v="0"/>
    <n v="0"/>
    <n v="0"/>
    <n v="-12.260009689200615"/>
    <n v="0"/>
    <n v="0"/>
    <n v="0"/>
    <n v="0"/>
    <n v="0"/>
    <n v="0"/>
    <n v="0"/>
    <n v="0"/>
    <n v="-16.007713408271826"/>
    <m/>
    <n v="0"/>
    <n v="0"/>
    <n v="0"/>
    <n v="0"/>
    <n v="-2.4578955179700621"/>
    <n v="-0.21307931755940013"/>
    <n v="0"/>
    <n v="0"/>
    <m/>
    <m/>
    <m/>
    <n v="7641.6298352792182"/>
    <n v="0"/>
    <n v="0"/>
    <n v="-1388.8127999999997"/>
    <n v="0"/>
    <n v="0"/>
    <n v="0"/>
    <n v="-1357.8715262665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88"/>
    <s v="Regular"/>
    <s v="Verde"/>
    <s v="A4"/>
    <s v="Industrial"/>
    <s v="Não se aplica"/>
    <s v="Não se aplica"/>
    <s v="Não se aplica"/>
    <s v="Fora ponta"/>
    <s v="CATIVO"/>
    <x v="9"/>
    <n v="0"/>
    <n v="0"/>
    <n v="2419.5059999999999"/>
    <n v="2419.5059999999999"/>
    <n v="2419.5059999999999"/>
    <n v="2419.5059999999999"/>
    <m/>
    <n v="72.13"/>
    <n v="119.97"/>
    <m/>
    <n v="464787.10259999998"/>
    <n v="464787.10259999998"/>
    <n v="450052.31105999998"/>
    <n v="0"/>
    <n v="128181.90806243311"/>
    <n v="0"/>
    <n v="0"/>
    <n v="0"/>
    <n v="0"/>
    <n v="0"/>
    <n v="290277.43194970884"/>
    <n v="0"/>
    <n v="0"/>
    <n v="0"/>
    <n v="0"/>
    <n v="0"/>
    <n v="22768.098047833781"/>
    <m/>
    <n v="2034.15610037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42.912219268263"/>
    <n v="0"/>
    <n v="0"/>
    <n v="0"/>
    <n v="0"/>
    <n v="0"/>
    <m/>
    <m/>
    <m/>
    <m/>
    <m/>
    <m/>
    <m/>
    <m/>
    <m/>
    <n v="311820.34416897711"/>
    <m/>
    <m/>
    <m/>
    <m/>
    <m/>
    <m/>
    <m/>
    <m/>
    <m/>
    <m/>
    <m/>
    <m/>
    <n v="450053.05510000006"/>
    <n v="-14734.077499999956"/>
    <m/>
    <m/>
    <m/>
    <m/>
    <n v="-14734.791539999973"/>
    <n v="0"/>
    <n v="30"/>
    <n v="-14744.926028713526"/>
    <n v="0"/>
    <n v="0"/>
    <n v="0"/>
    <n v="0"/>
    <n v="0"/>
    <n v="0"/>
    <n v="0"/>
    <n v="0"/>
    <n v="0"/>
    <n v="0"/>
    <n v="0"/>
    <n v="0"/>
    <n v="0"/>
    <n v="0"/>
    <n v="0"/>
    <n v="0"/>
    <n v="-12636.462850764816"/>
    <m/>
    <n v="0"/>
    <n v="0"/>
    <n v="0"/>
    <n v="0"/>
    <n v="-1940.2587122680816"/>
    <n v="-168.20446568054626"/>
    <n v="0"/>
    <n v="0"/>
    <m/>
    <m/>
    <m/>
    <n v="0"/>
    <n v="0"/>
    <n v="0"/>
    <n v="-14734.79153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89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18.134"/>
    <n v="18.134"/>
    <n v="18.134"/>
    <n v="18.134"/>
    <m/>
    <n v="72.13"/>
    <n v="119.97"/>
    <m/>
    <n v="3483.5414000000001"/>
    <n v="3483.5414000000001"/>
    <n v="3373.1053400000001"/>
    <n v="0"/>
    <n v="960.71293925460907"/>
    <n v="0"/>
    <n v="0"/>
    <n v="0"/>
    <n v="0"/>
    <n v="0"/>
    <n v="2175.6056612283751"/>
    <n v="0"/>
    <n v="0"/>
    <n v="0"/>
    <n v="0"/>
    <n v="0"/>
    <n v="170.64503663120396"/>
    <m/>
    <n v="15.245833952954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4623688406686"/>
    <n v="0"/>
    <n v="0"/>
    <n v="0"/>
    <n v="0"/>
    <n v="0"/>
    <m/>
    <m/>
    <m/>
    <m/>
    <m/>
    <m/>
    <m/>
    <m/>
    <m/>
    <n v="2337.0680300690437"/>
    <m/>
    <m/>
    <m/>
    <m/>
    <m/>
    <m/>
    <m/>
    <m/>
    <m/>
    <m/>
    <m/>
    <m/>
    <n v="3372.3612999999996"/>
    <n v="-111.21010000000069"/>
    <m/>
    <m/>
    <m/>
    <m/>
    <n v="-110.43605999999981"/>
    <n v="0"/>
    <n v="30"/>
    <n v="-110.5120171657727"/>
    <n v="0"/>
    <n v="0"/>
    <n v="0"/>
    <n v="0"/>
    <n v="0"/>
    <n v="0"/>
    <n v="0"/>
    <n v="0"/>
    <n v="0"/>
    <n v="0"/>
    <n v="0"/>
    <n v="0"/>
    <n v="0"/>
    <n v="0"/>
    <n v="0"/>
    <n v="0"/>
    <n v="-94.709257731028174"/>
    <m/>
    <n v="0"/>
    <n v="0"/>
    <n v="0"/>
    <n v="0"/>
    <n v="-14.542080692616338"/>
    <n v="-1.2606787421279488"/>
    <n v="0"/>
    <n v="0"/>
    <m/>
    <m/>
    <m/>
    <n v="0"/>
    <n v="0"/>
    <n v="0"/>
    <n v="-110.436059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90"/>
    <s v="Regular"/>
    <s v="Verde"/>
    <s v="A4"/>
    <s v="Industrial"/>
    <s v="Não se aplica"/>
    <s v="Não se aplica"/>
    <s v="Não se aplica"/>
    <s v="Não se aplica"/>
    <s v="CATIVO"/>
    <x v="9"/>
    <n v="10447"/>
    <n v="10447"/>
    <n v="0"/>
    <n v="0"/>
    <n v="0"/>
    <n v="0"/>
    <n v="46.29"/>
    <m/>
    <m/>
    <n v="483591.63"/>
    <m/>
    <n v="483591.63"/>
    <n v="429894.05"/>
    <n v="0"/>
    <n v="0"/>
    <n v="0"/>
    <n v="0"/>
    <n v="0"/>
    <n v="187137.24026612061"/>
    <n v="296417.205548097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74169.79"/>
    <n v="26"/>
    <m/>
    <m/>
    <m/>
    <m/>
    <m/>
    <m/>
    <m/>
    <m/>
    <m/>
    <n v="0"/>
    <m/>
    <m/>
    <m/>
    <m/>
    <m/>
    <m/>
    <m/>
    <m/>
    <m/>
    <m/>
    <m/>
    <m/>
    <n v="429894.05"/>
    <n v="-53697.610000000044"/>
    <m/>
    <m/>
    <m/>
    <m/>
    <n v="-53697.580000000009"/>
    <n v="0"/>
    <n v="30"/>
    <n v="-1001.217898149247"/>
    <n v="0"/>
    <n v="0"/>
    <n v="0"/>
    <n v="0"/>
    <m/>
    <m/>
    <m/>
    <n v="-1001.2178981492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6417.20554809703"/>
    <m/>
    <n v="0"/>
    <n v="0"/>
    <n v="-53697.580000000016"/>
    <m/>
    <n v="0"/>
    <m/>
    <n v="-52671.549392650631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291"/>
    <s v="Sistema de Compensação"/>
    <s v="Verde"/>
    <s v="A4"/>
    <s v="Industrial"/>
    <s v="Não se aplica"/>
    <s v="Não se aplica"/>
    <s v="Não se aplica"/>
    <s v="Não se aplica"/>
    <s v="CATIVO"/>
    <x v="9"/>
    <n v="90"/>
    <n v="90"/>
    <n v="0"/>
    <n v="0"/>
    <n v="0"/>
    <n v="0"/>
    <n v="46.29"/>
    <m/>
    <m/>
    <n v="4166.1000000000004"/>
    <m/>
    <n v="4166.1000000000004"/>
    <n v="3703.5"/>
    <n v="0"/>
    <n v="0"/>
    <n v="0"/>
    <n v="0"/>
    <n v="0"/>
    <n v="1612.1711136164311"/>
    <n v="2553.6085478442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910.44"/>
    <n v="1"/>
    <m/>
    <m/>
    <m/>
    <m/>
    <m/>
    <m/>
    <m/>
    <m/>
    <m/>
    <n v="0"/>
    <m/>
    <m/>
    <m/>
    <m/>
    <m/>
    <m/>
    <m/>
    <m/>
    <m/>
    <m/>
    <m/>
    <m/>
    <n v="3703.5"/>
    <n v="-462.63000000000102"/>
    <m/>
    <m/>
    <m/>
    <m/>
    <n v="-462.6"/>
    <n v="0"/>
    <n v="30"/>
    <n v="-8.6254054593121054"/>
    <n v="0"/>
    <n v="0"/>
    <n v="0"/>
    <n v="0"/>
    <m/>
    <m/>
    <m/>
    <n v="-8.62540545931210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53.608547844236"/>
    <m/>
    <n v="0"/>
    <n v="0"/>
    <n v="-462.60000000000036"/>
    <m/>
    <n v="0"/>
    <m/>
    <n v="-453.76083520039811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292"/>
    <s v="Regular"/>
    <s v="Branca"/>
    <s v="B3"/>
    <s v="Industrial"/>
    <s v="Não se aplica"/>
    <s v="Não se aplica"/>
    <s v="Não se aplica"/>
    <s v="Ponta"/>
    <s v="CATIVO"/>
    <x v="9"/>
    <n v="0"/>
    <n v="0"/>
    <n v="9.1999999999999998E-2"/>
    <n v="9.1999999999999998E-2"/>
    <n v="9.1999999999999998E-2"/>
    <n v="9.1999999999999998E-2"/>
    <m/>
    <n v="2187.66"/>
    <n v="119.97"/>
    <m/>
    <n v="212.30195999999998"/>
    <n v="212.30195999999998"/>
    <n v="183.16739999999999"/>
    <n v="0"/>
    <n v="5.6023289211872331"/>
    <n v="0"/>
    <n v="0"/>
    <n v="0"/>
    <n v="33.634890400728665"/>
    <n v="159.32871291353362"/>
    <n v="11.037593516764668"/>
    <n v="0"/>
    <n v="0"/>
    <n v="0"/>
    <n v="0"/>
    <n v="0"/>
    <n v="0.865740783614799"/>
    <m/>
    <n v="0.197919485111030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350620425916704"/>
    <n v="0"/>
    <n v="0"/>
    <n v="0"/>
    <n v="0"/>
    <n v="0"/>
    <m/>
    <m/>
    <m/>
    <m/>
    <m/>
    <m/>
    <m/>
    <m/>
    <m/>
    <n v="12.672655559356338"/>
    <m/>
    <m/>
    <m/>
    <m/>
    <m/>
    <m/>
    <m/>
    <m/>
    <m/>
    <m/>
    <m/>
    <m/>
    <n v="179.18549999999999"/>
    <n v="-33.146459999999962"/>
    <m/>
    <m/>
    <m/>
    <m/>
    <n v="-29.134559999999983"/>
    <n v="0"/>
    <n v="30"/>
    <n v="-0.82238592270667965"/>
    <n v="0"/>
    <n v="0"/>
    <n v="0"/>
    <n v="0"/>
    <n v="0"/>
    <n v="0"/>
    <n v="0"/>
    <n v="-0.17995271397400359"/>
    <n v="0"/>
    <n v="0"/>
    <n v="0"/>
    <n v="0"/>
    <n v="0"/>
    <n v="0"/>
    <n v="0"/>
    <n v="0"/>
    <n v="-0.55229027528492569"/>
    <m/>
    <n v="0"/>
    <n v="0"/>
    <n v="0"/>
    <n v="0"/>
    <n v="-7.3776961713946321E-2"/>
    <n v="-1.636597173380816E-2"/>
    <n v="0"/>
    <n v="0"/>
    <m/>
    <m/>
    <m/>
    <n v="159.32871291353362"/>
    <n v="0"/>
    <n v="0"/>
    <n v="-29.134559999999993"/>
    <n v="0"/>
    <n v="0"/>
    <n v="0"/>
    <n v="-28.31175118993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93"/>
    <s v="Regular"/>
    <s v="Branca"/>
    <s v="B3"/>
    <s v="Industrial"/>
    <s v="Não se aplica"/>
    <s v="Não se aplica"/>
    <s v="Não se aplica"/>
    <s v="Fora ponta"/>
    <s v="CATIVO"/>
    <x v="9"/>
    <n v="0"/>
    <n v="0"/>
    <n v="34.933"/>
    <n v="34.933"/>
    <n v="34.933"/>
    <n v="34.933"/>
    <m/>
    <n v="509.72"/>
    <n v="119.97"/>
    <m/>
    <n v="21996.960770000002"/>
    <n v="21996.960770000002"/>
    <n v="19589.02908"/>
    <n v="0"/>
    <n v="2127.2408283025393"/>
    <n v="0"/>
    <n v="0"/>
    <n v="0"/>
    <n v="2554.2774486275066"/>
    <n v="12099.640205293652"/>
    <n v="4191.0462426210888"/>
    <n v="0"/>
    <n v="0"/>
    <n v="0"/>
    <n v="0"/>
    <n v="0"/>
    <n v="328.7274216740845"/>
    <m/>
    <n v="75.151319275908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0.84372102016107"/>
    <n v="0"/>
    <n v="0"/>
    <n v="0"/>
    <n v="0"/>
    <n v="0"/>
    <m/>
    <m/>
    <m/>
    <m/>
    <m/>
    <m/>
    <m/>
    <m/>
    <m/>
    <n v="4811.8899636412498"/>
    <m/>
    <m/>
    <m/>
    <m/>
    <m/>
    <m/>
    <m/>
    <m/>
    <m/>
    <m/>
    <m/>
    <m/>
    <n v="19587.346799999999"/>
    <n v="-2409.6439699999974"/>
    <m/>
    <m/>
    <m/>
    <m/>
    <n v="-2407.9316900000003"/>
    <n v="0"/>
    <n v="30"/>
    <n v="-257.60192295770867"/>
    <n v="0"/>
    <n v="0"/>
    <n v="0"/>
    <n v="0"/>
    <n v="0"/>
    <n v="0"/>
    <n v="0"/>
    <n v="-13.665843820113878"/>
    <n v="0"/>
    <n v="0"/>
    <n v="0"/>
    <n v="0"/>
    <n v="0"/>
    <n v="0"/>
    <n v="0"/>
    <n v="0"/>
    <n v="-209.70821941878603"/>
    <m/>
    <n v="0"/>
    <n v="0"/>
    <n v="0"/>
    <n v="0"/>
    <n v="-28.013593516883589"/>
    <n v="-6.2142662019252271"/>
    <n v="0"/>
    <n v="0"/>
    <m/>
    <m/>
    <m/>
    <n v="12099.640205293652"/>
    <n v="0"/>
    <n v="0"/>
    <n v="-2407.9316900000013"/>
    <n v="0"/>
    <n v="0"/>
    <n v="0"/>
    <n v="-2150.0330776278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94"/>
    <s v="Regular"/>
    <s v="Branca"/>
    <s v="B3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691.02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295"/>
    <s v="Sistema de Compensação"/>
    <s v="Branca"/>
    <s v="B3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13.2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296"/>
    <s v="Regular"/>
    <s v="Branca"/>
    <s v="B3"/>
    <s v="Industrial"/>
    <s v="Não se aplica"/>
    <s v="Não se aplica"/>
    <s v="Não se aplica"/>
    <s v="Intermediário"/>
    <s v="CATIVO"/>
    <x v="9"/>
    <n v="0"/>
    <n v="0"/>
    <n v="0.23599999999999999"/>
    <n v="0.23599999999999999"/>
    <n v="0.23599999999999999"/>
    <n v="0.23599999999999999"/>
    <m/>
    <n v="1348.63"/>
    <n v="119.97"/>
    <m/>
    <n v="346.58960000000002"/>
    <n v="346.58960000000002"/>
    <n v="301.08879999999999"/>
    <n v="0"/>
    <n v="14.371191580436815"/>
    <n v="0"/>
    <n v="0"/>
    <n v="0"/>
    <n v="51.754055257942341"/>
    <n v="245.22764882599984"/>
    <n v="28.313826847352843"/>
    <n v="0"/>
    <n v="0"/>
    <n v="0"/>
    <n v="0"/>
    <n v="0"/>
    <n v="2.2208133144901363"/>
    <m/>
    <n v="0.507706505284816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942895875177628"/>
    <n v="0"/>
    <n v="0"/>
    <n v="0"/>
    <n v="0"/>
    <n v="0"/>
    <m/>
    <m/>
    <m/>
    <m/>
    <m/>
    <m/>
    <m/>
    <m/>
    <m/>
    <n v="32.508116434870608"/>
    <m/>
    <m/>
    <m/>
    <m/>
    <m/>
    <m/>
    <m/>
    <m/>
    <m/>
    <m/>
    <m/>
    <m/>
    <n v="306.19199999999995"/>
    <n v="-40.427600000000041"/>
    <m/>
    <m/>
    <m/>
    <m/>
    <n v="-45.500800000000041"/>
    <n v="0"/>
    <n v="30"/>
    <n v="-1.9248743450742154"/>
    <n v="0"/>
    <n v="0"/>
    <n v="0"/>
    <n v="0"/>
    <n v="0"/>
    <n v="0"/>
    <n v="0"/>
    <n v="-0.27689350528170564"/>
    <n v="0"/>
    <n v="0"/>
    <n v="0"/>
    <n v="0"/>
    <n v="0"/>
    <n v="0"/>
    <n v="0"/>
    <n v="0"/>
    <n v="-1.4167446192091582"/>
    <m/>
    <n v="0"/>
    <n v="0"/>
    <n v="0"/>
    <n v="0"/>
    <n v="-0.18925394526621009"/>
    <n v="-4.1982275317160034E-2"/>
    <n v="0"/>
    <n v="0"/>
    <m/>
    <m/>
    <m/>
    <n v="245.22764882599984"/>
    <n v="0"/>
    <n v="0"/>
    <n v="-45.500800000000027"/>
    <n v="0"/>
    <n v="0"/>
    <n v="0"/>
    <n v="-43.575473946253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97"/>
    <s v="Regular"/>
    <s v="Convencional"/>
    <s v="B3"/>
    <s v="Comercial"/>
    <s v="Não se aplica"/>
    <s v="Não se aplica"/>
    <s v="Não se aplica"/>
    <s v="Não se aplica"/>
    <s v="CATIVO"/>
    <x v="9"/>
    <n v="0"/>
    <n v="0"/>
    <n v="84.881"/>
    <n v="84.881"/>
    <n v="84.881"/>
    <n v="84.881"/>
    <m/>
    <n v="707.13"/>
    <n v="119.97"/>
    <m/>
    <n v="70205.075100000002"/>
    <n v="70205.075100000002"/>
    <n v="61880.795429999991"/>
    <n v="0"/>
    <n v="5168.8182734705824"/>
    <n v="0"/>
    <n v="0"/>
    <n v="0"/>
    <n v="9128.0357520927955"/>
    <n v="43235.236445534472"/>
    <n v="10183.499731483715"/>
    <n v="0"/>
    <n v="0"/>
    <n v="0"/>
    <n v="0"/>
    <n v="0"/>
    <n v="798.74938536964953"/>
    <m/>
    <n v="182.604389301188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8.5402308393866"/>
    <n v="0"/>
    <n v="0"/>
    <n v="0"/>
    <n v="19240.5"/>
    <n v="263"/>
    <m/>
    <m/>
    <m/>
    <m/>
    <m/>
    <m/>
    <m/>
    <m/>
    <m/>
    <n v="11692.039962323101"/>
    <m/>
    <m/>
    <m/>
    <m/>
    <m/>
    <m/>
    <m/>
    <m/>
    <m/>
    <m/>
    <m/>
    <m/>
    <n v="61880.066399999989"/>
    <n v="-8325.0387000000119"/>
    <m/>
    <m/>
    <m/>
    <m/>
    <n v="-8324.2796700000035"/>
    <n v="0"/>
    <n v="30"/>
    <n v="-641.55808097023328"/>
    <n v="0"/>
    <n v="0"/>
    <n v="0"/>
    <n v="0"/>
    <n v="0"/>
    <n v="0"/>
    <n v="0"/>
    <n v="-48.836633248070939"/>
    <n v="0"/>
    <n v="0"/>
    <n v="0"/>
    <n v="0"/>
    <n v="0"/>
    <n v="0"/>
    <n v="0"/>
    <n v="0"/>
    <n v="-509.55381365717221"/>
    <m/>
    <n v="0"/>
    <n v="0"/>
    <n v="0"/>
    <n v="0"/>
    <n v="-68.068068339581373"/>
    <n v="-15.099565725406194"/>
    <n v="0"/>
    <n v="0"/>
    <m/>
    <m/>
    <m/>
    <n v="43235.236445534472"/>
    <n v="0"/>
    <n v="0"/>
    <n v="-8324.2796700000108"/>
    <n v="0"/>
    <n v="0"/>
    <n v="0"/>
    <n v="-7682.6407149107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98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2.4289999999999998"/>
    <n v="-2.4289999999999998"/>
    <n v="-2.4289999999999998"/>
    <n v="-2.4289999999999998"/>
    <m/>
    <n v="707.13"/>
    <n v="119.97"/>
    <m/>
    <n v="-2009.0258999999999"/>
    <n v="-2009.0258999999999"/>
    <n v="-1770.8138699999997"/>
    <n v="0"/>
    <n v="-147.91366249525856"/>
    <n v="0"/>
    <n v="0"/>
    <n v="0"/>
    <n v="-261.21274303829358"/>
    <n v="-1237.2426023044407"/>
    <n v="-291.4164636111019"/>
    <n v="0"/>
    <n v="0"/>
    <n v="0"/>
    <n v="0"/>
    <n v="0"/>
    <n v="-22.857438732612462"/>
    <m/>
    <n v="-5.2255046666814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3.169192407121379"/>
    <n v="0"/>
    <n v="0"/>
    <n v="0"/>
    <n v="-590.27"/>
    <n v="0"/>
    <m/>
    <m/>
    <m/>
    <m/>
    <m/>
    <m/>
    <m/>
    <m/>
    <m/>
    <n v="-334.58565601822329"/>
    <m/>
    <m/>
    <m/>
    <m/>
    <m/>
    <m/>
    <m/>
    <m/>
    <m/>
    <m/>
    <m/>
    <m/>
    <n v="-1771.5428999999999"/>
    <n v="237.45299999999997"/>
    <m/>
    <m/>
    <m/>
    <m/>
    <n v="238.21203000000011"/>
    <n v="0"/>
    <n v="30"/>
    <n v="18.359168467344603"/>
    <n v="0"/>
    <n v="0"/>
    <n v="0"/>
    <n v="0"/>
    <n v="0"/>
    <n v="0"/>
    <n v="0"/>
    <n v="1.3975351628699286"/>
    <n v="0"/>
    <n v="0"/>
    <n v="0"/>
    <n v="0"/>
    <n v="0"/>
    <n v="0"/>
    <n v="0"/>
    <n v="0"/>
    <n v="14.581663898555263"/>
    <m/>
    <n v="0"/>
    <n v="0"/>
    <n v="0"/>
    <n v="0"/>
    <n v="1.9478721739475588"/>
    <n v="0.43209723197195604"/>
    <n v="0"/>
    <n v="0"/>
    <m/>
    <m/>
    <m/>
    <n v="-1237.2426023044407"/>
    <n v="0"/>
    <n v="0"/>
    <n v="238.21203000000014"/>
    <n v="0"/>
    <n v="0"/>
    <n v="0"/>
    <n v="219.85054719570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299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6.899999999999999"/>
    <n v="16.899999999999999"/>
    <n v="16.899999999999999"/>
    <n v="16.899999999999999"/>
    <m/>
    <n v="707.13"/>
    <n v="119.97"/>
    <m/>
    <n v="13977.99"/>
    <n v="13977.99"/>
    <n v="12320.606999999998"/>
    <n v="0"/>
    <n v="1029.1234648702634"/>
    <n v="0"/>
    <n v="0"/>
    <n v="0"/>
    <n v="1817.4126625554393"/>
    <n v="8608.2338324187094"/>
    <n v="2027.5579394926399"/>
    <n v="0"/>
    <n v="0"/>
    <n v="0"/>
    <n v="0"/>
    <n v="0"/>
    <n v="159.03281785967502"/>
    <m/>
    <n v="36.356948895395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.35378825868725"/>
    <n v="0"/>
    <n v="0"/>
    <n v="0"/>
    <n v="6310.07"/>
    <n v="8"/>
    <m/>
    <m/>
    <m/>
    <m/>
    <m/>
    <m/>
    <m/>
    <m/>
    <m/>
    <n v="2327.9117277513269"/>
    <m/>
    <m/>
    <m/>
    <m/>
    <m/>
    <m/>
    <m/>
    <m/>
    <m/>
    <m/>
    <m/>
    <m/>
    <n v="12320.606999999998"/>
    <n v="-1657.4130000000023"/>
    <m/>
    <m/>
    <m/>
    <m/>
    <n v="-1657.3830000000007"/>
    <n v="0"/>
    <n v="30"/>
    <n v="-127.73567192183054"/>
    <n v="0"/>
    <n v="0"/>
    <n v="0"/>
    <n v="0"/>
    <n v="0"/>
    <n v="0"/>
    <n v="0"/>
    <n v="-9.7234846655010188"/>
    <n v="0"/>
    <n v="0"/>
    <n v="0"/>
    <n v="0"/>
    <n v="0"/>
    <n v="0"/>
    <n v="0"/>
    <n v="0"/>
    <n v="-101.45332230777444"/>
    <m/>
    <n v="0"/>
    <n v="0"/>
    <n v="0"/>
    <n v="0"/>
    <n v="-13.552507097453201"/>
    <n v="-3.0063578511017184"/>
    <n v="0"/>
    <n v="0"/>
    <m/>
    <m/>
    <m/>
    <n v="8608.2338324187094"/>
    <n v="0"/>
    <n v="0"/>
    <n v="-1657.3830000000016"/>
    <n v="0"/>
    <n v="0"/>
    <n v="0"/>
    <n v="-1529.6312258572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00"/>
    <s v="Regular"/>
    <s v="Convencional"/>
    <s v="B2"/>
    <s v="Rural"/>
    <s v="Não se aplica"/>
    <s v="Não se aplica"/>
    <s v="Não se aplica"/>
    <s v="Não se aplica"/>
    <s v="CATIVO"/>
    <x v="9"/>
    <n v="0"/>
    <n v="0"/>
    <n v="269.67599999999999"/>
    <n v="269.67599999999999"/>
    <n v="269.67599999999999"/>
    <n v="269.67599999999999"/>
    <m/>
    <n v="707.13"/>
    <n v="119.97"/>
    <m/>
    <n v="223049.01959999997"/>
    <n v="223049.01959999997"/>
    <n v="196601.89427999998"/>
    <n v="0"/>
    <n v="16421.887545109654"/>
    <n v="0"/>
    <n v="0"/>
    <n v="0"/>
    <n v="29000.744212266309"/>
    <n v="137362.96254386674"/>
    <n v="32354.065969859006"/>
    <n v="0"/>
    <n v="0"/>
    <n v="0"/>
    <n v="0"/>
    <n v="0"/>
    <n v="2537.7120821967883"/>
    <m/>
    <n v="580.153642030458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92.7933847603399"/>
    <n v="0"/>
    <n v="0"/>
    <n v="0"/>
    <n v="36575.22"/>
    <n v="701"/>
    <m/>
    <m/>
    <m/>
    <m/>
    <m/>
    <n v="23591.256479999978"/>
    <m/>
    <m/>
    <m/>
    <n v="37146.859354619344"/>
    <m/>
    <m/>
    <m/>
    <m/>
    <m/>
    <m/>
    <m/>
    <m/>
    <m/>
    <m/>
    <m/>
    <m/>
    <n v="173013.20400000003"/>
    <n v="-23273.19935999997"/>
    <m/>
    <m/>
    <m/>
    <m/>
    <n v="-26447.125320000014"/>
    <n v="0"/>
    <n v="30"/>
    <n v="-2038.2985243308358"/>
    <n v="0"/>
    <n v="0"/>
    <n v="0"/>
    <n v="0"/>
    <n v="0"/>
    <n v="0"/>
    <n v="0"/>
    <n v="-155.15919826352911"/>
    <n v="0"/>
    <n v="0"/>
    <n v="0"/>
    <n v="0"/>
    <n v="0"/>
    <n v="0"/>
    <n v="0"/>
    <n v="0"/>
    <n v="-1618.9068725841043"/>
    <m/>
    <n v="0"/>
    <n v="0"/>
    <n v="0"/>
    <n v="0"/>
    <n v="-216.2595209475021"/>
    <n v="-47.97293253572218"/>
    <n v="0"/>
    <n v="0"/>
    <m/>
    <m/>
    <m/>
    <n v="137362.96254386674"/>
    <n v="0"/>
    <n v="0"/>
    <n v="-26447.125319999992"/>
    <n v="0"/>
    <n v="0"/>
    <n v="0"/>
    <n v="-24408.569849957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0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-3.0350000000000001"/>
    <n v="-3.0350000000000001"/>
    <n v="-3.0350000000000001"/>
    <n v="-3.0350000000000001"/>
    <m/>
    <n v="707.13"/>
    <n v="119.97"/>
    <m/>
    <n v="-2510.2484999999997"/>
    <n v="-2510.2484999999997"/>
    <n v="-2212.6060499999999"/>
    <n v="0"/>
    <n v="-184.8159595196006"/>
    <n v="0"/>
    <n v="0"/>
    <n v="0"/>
    <n v="-326.38150478436444"/>
    <n v="-1545.916549194721"/>
    <n v="-364.12061221066051"/>
    <n v="0"/>
    <n v="0"/>
    <n v="0"/>
    <n v="0"/>
    <n v="0"/>
    <n v="-28.56003563337951"/>
    <m/>
    <n v="-6.52919170991279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3.939274992018696"/>
    <n v="0"/>
    <n v="0"/>
    <n v="0"/>
    <n v="-649.04"/>
    <n v="2"/>
    <m/>
    <m/>
    <m/>
    <m/>
    <m/>
    <n v="-265.50179999999978"/>
    <m/>
    <m/>
    <m/>
    <n v="-418.05988720267919"/>
    <m/>
    <m/>
    <m/>
    <m/>
    <m/>
    <m/>
    <m/>
    <m/>
    <m/>
    <m/>
    <m/>
    <m/>
    <n v="-1950.3120000000001"/>
    <n v="258.71309999999971"/>
    <m/>
    <m/>
    <m/>
    <m/>
    <n v="297.64245000000017"/>
    <n v="0"/>
    <n v="30"/>
    <n v="22.939512679452946"/>
    <n v="0"/>
    <n v="0"/>
    <n v="0"/>
    <n v="0"/>
    <n v="0"/>
    <n v="0"/>
    <n v="0"/>
    <n v="1.7461997609347009"/>
    <n v="0"/>
    <n v="0"/>
    <n v="0"/>
    <n v="0"/>
    <n v="0"/>
    <n v="0"/>
    <n v="0"/>
    <n v="0"/>
    <n v="18.219575929236441"/>
    <m/>
    <n v="0"/>
    <n v="0"/>
    <n v="0"/>
    <n v="0"/>
    <n v="2.433837813063338"/>
    <n v="0.53989917621856254"/>
    <n v="0"/>
    <n v="0"/>
    <m/>
    <m/>
    <m/>
    <n v="-1545.916549194721"/>
    <n v="0"/>
    <n v="0"/>
    <n v="297.64245000000005"/>
    <n v="0"/>
    <n v="0"/>
    <n v="0"/>
    <n v="274.70004559034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02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30.792999999999999"/>
    <n v="30.792999999999999"/>
    <n v="30.792999999999999"/>
    <n v="30.792999999999999"/>
    <m/>
    <n v="707.13"/>
    <n v="119.97"/>
    <m/>
    <n v="25468.890299999999"/>
    <n v="25468.890299999999"/>
    <n v="22449.020789999999"/>
    <n v="0"/>
    <n v="1875.1360268491137"/>
    <n v="0"/>
    <n v="0"/>
    <n v="0"/>
    <n v="3311.4549182289729"/>
    <n v="15684.813278205285"/>
    <n v="3694.3545343666783"/>
    <n v="0"/>
    <n v="0"/>
    <n v="0"/>
    <n v="0"/>
    <n v="0"/>
    <n v="289.76908641141853"/>
    <m/>
    <n v="66.2449424459125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7.26592910353588"/>
    <n v="0"/>
    <n v="0"/>
    <n v="0"/>
    <n v="8803.6200000000008"/>
    <n v="16"/>
    <m/>
    <m/>
    <m/>
    <m/>
    <m/>
    <n v="2693.7716399999972"/>
    <m/>
    <m/>
    <m/>
    <n v="4241.6204634702144"/>
    <m/>
    <m/>
    <m/>
    <m/>
    <m/>
    <m/>
    <m/>
    <m/>
    <m/>
    <m/>
    <m/>
    <m/>
    <n v="19753.324499999999"/>
    <n v="-2659.6984799999918"/>
    <m/>
    <m/>
    <m/>
    <m/>
    <n v="-3019.8695100000014"/>
    <n v="0"/>
    <n v="30"/>
    <n v="-232.74346423011229"/>
    <n v="0"/>
    <n v="0"/>
    <n v="0"/>
    <n v="0"/>
    <n v="0"/>
    <n v="0"/>
    <n v="0"/>
    <n v="-17.716879485489699"/>
    <n v="0"/>
    <n v="0"/>
    <n v="0"/>
    <n v="0"/>
    <n v="0"/>
    <n v="0"/>
    <n v="0"/>
    <n v="0"/>
    <n v="-184.85515703096439"/>
    <m/>
    <n v="0"/>
    <n v="0"/>
    <n v="0"/>
    <n v="0"/>
    <n v="-24.693630239755976"/>
    <n v="-5.4777974739038555"/>
    <n v="0"/>
    <n v="0"/>
    <m/>
    <m/>
    <m/>
    <n v="15684.813278205285"/>
    <n v="0"/>
    <n v="0"/>
    <n v="-3019.8695100000004"/>
    <n v="0"/>
    <n v="0"/>
    <n v="0"/>
    <n v="-2787.0967063800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03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8.655999999999999"/>
    <n v="28.655999999999999"/>
    <n v="28.655999999999999"/>
    <n v="28.655999999999999"/>
    <m/>
    <n v="707.13"/>
    <n v="119.97"/>
    <m/>
    <n v="23701.3776"/>
    <n v="23701.3776"/>
    <n v="20891.083679999996"/>
    <n v="0"/>
    <n v="1745.0036691906669"/>
    <n v="0"/>
    <n v="0"/>
    <n v="0"/>
    <n v="3081.6436247448914"/>
    <n v="14596.304656910683"/>
    <n v="3437.9704327870468"/>
    <n v="0"/>
    <n v="0"/>
    <n v="0"/>
    <n v="0"/>
    <n v="0"/>
    <n v="269.65943364419218"/>
    <m/>
    <n v="61.6476170145834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9.28628144029244"/>
    <n v="0"/>
    <n v="0"/>
    <n v="0"/>
    <n v="6551.83"/>
    <n v="83"/>
    <m/>
    <m/>
    <m/>
    <m/>
    <m/>
    <m/>
    <m/>
    <m/>
    <m/>
    <n v="3947.2567142273392"/>
    <m/>
    <m/>
    <m/>
    <m/>
    <m/>
    <m/>
    <m/>
    <m/>
    <m/>
    <m/>
    <m/>
    <m/>
    <n v="20893.999799999998"/>
    <n v="-2807.4077999999972"/>
    <m/>
    <m/>
    <m/>
    <m/>
    <n v="-2810.2939200000014"/>
    <n v="0"/>
    <n v="30"/>
    <n v="-216.59132630721615"/>
    <n v="0"/>
    <n v="0"/>
    <n v="0"/>
    <n v="0"/>
    <n v="0"/>
    <n v="0"/>
    <n v="0"/>
    <n v="-16.487347726307235"/>
    <n v="0"/>
    <n v="0"/>
    <n v="0"/>
    <n v="0"/>
    <n v="0"/>
    <n v="0"/>
    <n v="0"/>
    <n v="0"/>
    <n v="-172.02641444092228"/>
    <m/>
    <n v="0"/>
    <n v="0"/>
    <n v="0"/>
    <n v="0"/>
    <n v="-22.979919726900533"/>
    <n v="-5.0976444130870249"/>
    <n v="0"/>
    <n v="0"/>
    <m/>
    <m/>
    <m/>
    <n v="14596.304656910683"/>
    <n v="0"/>
    <n v="0"/>
    <n v="-2810.2939200000037"/>
    <n v="0"/>
    <n v="0"/>
    <n v="0"/>
    <n v="-2593.6752904240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04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84.697999999999993"/>
    <n v="84.697999999999993"/>
    <n v="84.697999999999993"/>
    <n v="84.697999999999993"/>
    <m/>
    <n v="388.92"/>
    <n v="65.989999999999995"/>
    <m/>
    <n v="38529.967179999992"/>
    <n v="38529.967179999992"/>
    <n v="33961.357059999995"/>
    <n v="0"/>
    <n v="2836.7209807792856"/>
    <n v="0"/>
    <n v="0"/>
    <n v="0"/>
    <n v="5009.5958420838015"/>
    <n v="23728.112664260949"/>
    <n v="5588.8494850610123"/>
    <n v="0"/>
    <n v="0"/>
    <n v="0"/>
    <n v="0"/>
    <n v="0"/>
    <n v="438.36502271558072"/>
    <m/>
    <n v="100.21588589634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7.90833354223957"/>
    <n v="0"/>
    <n v="0"/>
    <n v="0"/>
    <n v="11320.44"/>
    <n v="2"/>
    <m/>
    <m/>
    <m/>
    <m/>
    <m/>
    <m/>
    <m/>
    <m/>
    <m/>
    <n v="6416.7578186032515"/>
    <m/>
    <m/>
    <m/>
    <m/>
    <m/>
    <m/>
    <m/>
    <m/>
    <m/>
    <m/>
    <m/>
    <m/>
    <n v="33962.159000000007"/>
    <n v="-4567.8381799999916"/>
    <m/>
    <m/>
    <m/>
    <m/>
    <n v="-4568.6101199999994"/>
    <n v="0"/>
    <n v="30"/>
    <n v="-352.09619924494655"/>
    <n v="0"/>
    <n v="0"/>
    <n v="0"/>
    <n v="0"/>
    <n v="0"/>
    <n v="0"/>
    <n v="0"/>
    <n v="-26.802238894049879"/>
    <n v="0"/>
    <n v="0"/>
    <n v="0"/>
    <n v="0"/>
    <n v="0"/>
    <n v="0"/>
    <n v="0"/>
    <n v="0"/>
    <n v="-279.65037994397471"/>
    <m/>
    <n v="0"/>
    <n v="0"/>
    <n v="0"/>
    <n v="0"/>
    <n v="-37.35672398680714"/>
    <n v="-8.2868564201149866"/>
    <n v="0"/>
    <n v="0"/>
    <m/>
    <m/>
    <m/>
    <n v="23728.112664260949"/>
    <n v="0"/>
    <n v="0"/>
    <n v="-4568.6101199999976"/>
    <n v="0"/>
    <n v="0"/>
    <n v="0"/>
    <n v="-4216.342488888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05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6.141"/>
    <n v="5.7725400000000002"/>
    <n v="6.141"/>
    <n v="5.7725400000000002"/>
    <m/>
    <n v="707.13"/>
    <n v="119.97"/>
    <m/>
    <n v="5079.2211000000007"/>
    <n v="5079.2211000000007"/>
    <n v="4476.9732299999996"/>
    <n v="0"/>
    <n v="373.95545548924781"/>
    <n v="0"/>
    <n v="0"/>
    <n v="0"/>
    <n v="660.39829353567768"/>
    <n v="3127.9978677445738"/>
    <n v="736.75936724404153"/>
    <n v="0"/>
    <n v="0"/>
    <n v="0"/>
    <n v="0"/>
    <n v="0"/>
    <n v="57.788197306287834"/>
    <m/>
    <n v="13.2111256311612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14039134299399"/>
    <n v="0"/>
    <n v="0"/>
    <n v="0"/>
    <n v="1402.76"/>
    <n v="7"/>
    <m/>
    <m/>
    <m/>
    <m/>
    <n v="268.61839379999981"/>
    <m/>
    <m/>
    <m/>
    <m/>
    <n v="845.89975858703554"/>
    <m/>
    <m/>
    <m/>
    <m/>
    <m/>
    <m/>
    <m/>
    <m/>
    <m/>
    <m/>
    <m/>
    <m/>
    <n v="4206.503099999999"/>
    <n v="-567.9947340000017"/>
    <m/>
    <m/>
    <m/>
    <m/>
    <n v="-602.24787000000026"/>
    <n v="0"/>
    <n v="30"/>
    <n v="-46.415666347452998"/>
    <n v="0"/>
    <n v="0"/>
    <n v="0"/>
    <n v="0"/>
    <n v="0"/>
    <n v="0"/>
    <n v="0"/>
    <n v="-3.5332496645468154"/>
    <n v="0"/>
    <n v="0"/>
    <n v="0"/>
    <n v="0"/>
    <n v="0"/>
    <n v="0"/>
    <n v="0"/>
    <n v="0"/>
    <n v="-36.865375875268796"/>
    <m/>
    <n v="0"/>
    <n v="0"/>
    <n v="0"/>
    <n v="0"/>
    <n v="-4.9246121944059169"/>
    <n v="-1.0924286132316929"/>
    <n v="0"/>
    <n v="0"/>
    <m/>
    <m/>
    <m/>
    <n v="3127.9978677445738"/>
    <n v="0"/>
    <n v="0"/>
    <n v="-602.2478700000006"/>
    <n v="0"/>
    <n v="0"/>
    <n v="0"/>
    <n v="-555.82635254376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06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3.8940000000000001"/>
    <n v="3.6603599999999998"/>
    <n v="3.8940000000000001"/>
    <n v="3.6603599999999998"/>
    <m/>
    <n v="3312.96"/>
    <n v="119.97"/>
    <m/>
    <n v="13367.82942"/>
    <n v="13367.82942"/>
    <n v="11603.380140000001"/>
    <n v="0"/>
    <n v="206.29845513717038"/>
    <n v="0"/>
    <n v="0"/>
    <n v="0"/>
    <n v="2911.3062834861275"/>
    <n v="9708.4850174803505"/>
    <n v="467.17814298132191"/>
    <n v="0"/>
    <n v="0"/>
    <n v="0"/>
    <n v="0"/>
    <n v="0"/>
    <n v="36.643419689087253"/>
    <m/>
    <n v="3.27381037900107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671581794726123"/>
    <n v="0"/>
    <n v="0"/>
    <n v="0"/>
    <n v="0"/>
    <n v="0"/>
    <m/>
    <m/>
    <m/>
    <m/>
    <n v="696.20280840000089"/>
    <m/>
    <m/>
    <m/>
    <m/>
    <n v="501.84972477604805"/>
    <m/>
    <m/>
    <m/>
    <m/>
    <m/>
    <m/>
    <m/>
    <m/>
    <m/>
    <m/>
    <m/>
    <m/>
    <n v="10906.104600000002"/>
    <n v="-1659.6850547999984"/>
    <m/>
    <m/>
    <m/>
    <m/>
    <n v="-1764.4492799999996"/>
    <n v="0"/>
    <n v="30"/>
    <n v="-39.306782953053698"/>
    <n v="0"/>
    <n v="0"/>
    <n v="0"/>
    <n v="0"/>
    <n v="0"/>
    <n v="0"/>
    <n v="0"/>
    <n v="-15.576012309868474"/>
    <n v="0"/>
    <n v="0"/>
    <n v="0"/>
    <n v="0"/>
    <n v="0"/>
    <n v="0"/>
    <n v="0"/>
    <n v="0"/>
    <n v="-20.337369008747316"/>
    <m/>
    <n v="0"/>
    <n v="0"/>
    <n v="0"/>
    <n v="0"/>
    <n v="-3.1226900968924696"/>
    <n v="-0.27071153754528687"/>
    <n v="0"/>
    <n v="0"/>
    <m/>
    <m/>
    <m/>
    <n v="9708.4850174803505"/>
    <n v="0"/>
    <n v="0"/>
    <n v="-1764.4492799999989"/>
    <n v="0"/>
    <n v="0"/>
    <n v="0"/>
    <n v="-1725.13922456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07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34.14"/>
    <n v="32.0916"/>
    <n v="34.14"/>
    <n v="32.0916"/>
    <m/>
    <n v="72.13"/>
    <n v="119.97"/>
    <m/>
    <n v="6558.2939999999999"/>
    <n v="6558.2939999999999"/>
    <n v="6350.3814000000002"/>
    <n v="0"/>
    <n v="1808.6875342534661"/>
    <n v="0"/>
    <n v="0"/>
    <n v="0"/>
    <n v="0"/>
    <n v="0"/>
    <n v="4095.9069854602799"/>
    <n v="0"/>
    <n v="0"/>
    <n v="0"/>
    <n v="0"/>
    <n v="0"/>
    <n v="321.26511252836127"/>
    <m/>
    <n v="28.702590225756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3.97735040368514"/>
    <n v="0"/>
    <n v="0"/>
    <n v="0"/>
    <n v="0"/>
    <n v="0"/>
    <m/>
    <m/>
    <m/>
    <m/>
    <n v="381.0228840000002"/>
    <m/>
    <m/>
    <m/>
    <m/>
    <n v="4399.8843358639651"/>
    <m/>
    <m/>
    <m/>
    <m/>
    <m/>
    <m/>
    <m/>
    <m/>
    <m/>
    <m/>
    <m/>
    <m/>
    <n v="5969.0609000000004"/>
    <n v="-195.76546000000053"/>
    <m/>
    <m/>
    <m/>
    <m/>
    <n v="-207.91259999999963"/>
    <n v="0"/>
    <n v="30"/>
    <n v="-208.05560086243895"/>
    <n v="0"/>
    <n v="0"/>
    <n v="0"/>
    <n v="0"/>
    <n v="0"/>
    <n v="0"/>
    <n v="0"/>
    <n v="0"/>
    <n v="0"/>
    <n v="0"/>
    <n v="0"/>
    <n v="0"/>
    <n v="0"/>
    <n v="0"/>
    <n v="0"/>
    <n v="0"/>
    <n v="-178.30451411367062"/>
    <m/>
    <n v="0"/>
    <n v="0"/>
    <n v="0"/>
    <n v="0"/>
    <n v="-27.37766818384921"/>
    <n v="-2.3734185649193904"/>
    <n v="0"/>
    <n v="0"/>
    <m/>
    <m/>
    <m/>
    <n v="0"/>
    <n v="0"/>
    <n v="0"/>
    <n v="-207.9125999999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08"/>
    <s v="Regular"/>
    <s v="Verde"/>
    <s v="A4"/>
    <s v="Serviço público"/>
    <s v="Água, esgoto e saneamento"/>
    <s v="Não se aplica"/>
    <s v="Não se aplica"/>
    <s v="Não se aplica"/>
    <s v="CATIVO"/>
    <x v="9"/>
    <n v="100"/>
    <n v="94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914.87"/>
    <n v="1"/>
    <m/>
    <m/>
    <m/>
    <m/>
    <n v="246.89999999999998"/>
    <m/>
    <m/>
    <m/>
    <m/>
    <n v="0"/>
    <m/>
    <m/>
    <m/>
    <m/>
    <m/>
    <m/>
    <m/>
    <m/>
    <m/>
    <m/>
    <m/>
    <m/>
    <n v="3868.1"/>
    <n v="-483.19000000000096"/>
    <m/>
    <m/>
    <m/>
    <m/>
    <n v="-514"/>
    <n v="0"/>
    <n v="30"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309"/>
    <s v="Regular"/>
    <s v="Convencional"/>
    <s v="B1"/>
    <s v="Residencial"/>
    <s v="Residencial"/>
    <s v="Não se aplica"/>
    <s v="Não se aplica"/>
    <s v="Não se aplica"/>
    <s v="CATIVO"/>
    <x v="10"/>
    <n v="0"/>
    <n v="0"/>
    <n v="581.66600000000005"/>
    <n v="581.66600000000005"/>
    <n v="581.66600000000005"/>
    <n v="581.66600000000005"/>
    <m/>
    <n v="707.13"/>
    <n v="119.97"/>
    <m/>
    <n v="481095.94860000006"/>
    <n v="481095.94860000006"/>
    <n v="424051.96398"/>
    <n v="0"/>
    <n v="35420.481024687972"/>
    <n v="0"/>
    <n v="0"/>
    <n v="0"/>
    <n v="62551.902590412559"/>
    <n v="296279.10889749479"/>
    <n v="69784.70511437433"/>
    <n v="0"/>
    <n v="0"/>
    <n v="0"/>
    <n v="0"/>
    <n v="0"/>
    <n v="5473.608463500932"/>
    <m/>
    <n v="1251.3373394194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37.608674631811"/>
    <n v="0"/>
    <n v="0"/>
    <n v="0"/>
    <n v="69710.77"/>
    <n v="3095"/>
    <m/>
    <m/>
    <m/>
    <m/>
    <m/>
    <m/>
    <m/>
    <m/>
    <m/>
    <n v="80122.313789006148"/>
    <m/>
    <m/>
    <m/>
    <m/>
    <m/>
    <m/>
    <m/>
    <m/>
    <m/>
    <m/>
    <m/>
    <m/>
    <n v="424054.88009999995"/>
    <n v="-57041.098500000138"/>
    <m/>
    <m/>
    <m/>
    <m/>
    <n v="-57043.984620000032"/>
    <n v="0"/>
    <n v="31"/>
    <n v="-4396.4199611883669"/>
    <n v="0"/>
    <n v="0"/>
    <n v="0"/>
    <n v="0"/>
    <n v="0"/>
    <n v="0"/>
    <n v="0"/>
    <n v="-334.66393085463642"/>
    <n v="0"/>
    <n v="0"/>
    <n v="0"/>
    <n v="0"/>
    <n v="0"/>
    <n v="0"/>
    <n v="0"/>
    <n v="0"/>
    <n v="-3491.83125286828"/>
    <m/>
    <n v="0"/>
    <n v="0"/>
    <n v="0"/>
    <n v="0"/>
    <n v="-466.45163274243896"/>
    <n v="-103.47314472301355"/>
    <n v="0"/>
    <n v="0"/>
    <m/>
    <m/>
    <m/>
    <n v="296279.10889749479"/>
    <n v="0"/>
    <n v="0"/>
    <n v="-57043.984620000061"/>
    <n v="0"/>
    <n v="0"/>
    <n v="0"/>
    <n v="-52647.010450858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10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3.3650000000000002"/>
    <n v="-3.3650000000000002"/>
    <n v="-3.3650000000000002"/>
    <n v="-3.3650000000000002"/>
    <m/>
    <n v="707.13"/>
    <n v="119.97"/>
    <m/>
    <n v="-2783.1915000000004"/>
    <n v="-2783.1915000000004"/>
    <n v="-2453.18595"/>
    <n v="0"/>
    <n v="-204.91126978038088"/>
    <n v="0"/>
    <n v="0"/>
    <n v="0"/>
    <n v="-361.86944434905644"/>
    <n v="-1714.0063222537847"/>
    <n v="-403.7119802599251"/>
    <n v="0"/>
    <n v="0"/>
    <n v="0"/>
    <n v="0"/>
    <n v="0"/>
    <n v="-31.665410183302161"/>
    <m/>
    <n v="-7.23912029781105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9.804171449140988"/>
    <n v="0"/>
    <n v="0"/>
    <n v="0"/>
    <n v="-644.97"/>
    <n v="0"/>
    <m/>
    <m/>
    <m/>
    <m/>
    <m/>
    <m/>
    <m/>
    <m/>
    <m/>
    <n v="-463.51615170906609"/>
    <m/>
    <m/>
    <m/>
    <m/>
    <m/>
    <m/>
    <m/>
    <m/>
    <m/>
    <m/>
    <m/>
    <m/>
    <n v="-2456.8311000000003"/>
    <n v="326.33039999999937"/>
    <m/>
    <m/>
    <m/>
    <m/>
    <n v="330.0055500000002"/>
    <n v="0"/>
    <n v="31"/>
    <n v="25.433759527630855"/>
    <n v="0"/>
    <n v="0"/>
    <n v="0"/>
    <n v="0"/>
    <n v="0"/>
    <n v="0"/>
    <n v="0"/>
    <n v="1.9360666212669457"/>
    <n v="0"/>
    <n v="0"/>
    <n v="0"/>
    <n v="0"/>
    <n v="0"/>
    <n v="0"/>
    <n v="0"/>
    <n v="0"/>
    <n v="20.200617134062782"/>
    <m/>
    <n v="0"/>
    <n v="0"/>
    <n v="0"/>
    <n v="0"/>
    <n v="2.6984725670372782"/>
    <n v="0.59860320526374355"/>
    <n v="0"/>
    <n v="0"/>
    <m/>
    <m/>
    <m/>
    <n v="-1714.0063222537847"/>
    <n v="0"/>
    <n v="0"/>
    <n v="330.00555000000031"/>
    <n v="0"/>
    <n v="0"/>
    <n v="0"/>
    <n v="304.56858432010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11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10.53"/>
    <n v="10.53"/>
    <n v="10.53"/>
    <n v="10.53"/>
    <m/>
    <n v="707.13"/>
    <n v="119.97"/>
    <m/>
    <n v="8709.3629999999994"/>
    <n v="8709.3629999999994"/>
    <n v="7676.6858999999986"/>
    <n v="0"/>
    <n v="641.22308195762571"/>
    <n v="0"/>
    <n v="0"/>
    <n v="0"/>
    <n v="1132.3878897460813"/>
    <n v="5363.5918494301195"/>
    <n v="1263.3245622992604"/>
    <n v="0"/>
    <n v="0"/>
    <n v="0"/>
    <n v="0"/>
    <n v="0"/>
    <n v="99.089678820259053"/>
    <m/>
    <n v="22.6531758502081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.14351422272051"/>
    <n v="0"/>
    <n v="0"/>
    <n v="0"/>
    <n v="2572.87"/>
    <n v="57"/>
    <m/>
    <m/>
    <m/>
    <m/>
    <m/>
    <m/>
    <m/>
    <m/>
    <m/>
    <n v="1450.4680765219809"/>
    <m/>
    <m/>
    <m/>
    <m/>
    <m/>
    <m/>
    <m/>
    <m/>
    <m/>
    <m/>
    <m/>
    <m/>
    <n v="7676.6858999999986"/>
    <n v="-1032.7071000000014"/>
    <m/>
    <m/>
    <m/>
    <m/>
    <n v="-1032.6771000000006"/>
    <n v="0"/>
    <n v="31"/>
    <n v="-79.589149428217297"/>
    <n v="0"/>
    <n v="0"/>
    <n v="0"/>
    <n v="0"/>
    <n v="0"/>
    <n v="0"/>
    <n v="0"/>
    <n v="-6.0584789069660019"/>
    <n v="0"/>
    <n v="0"/>
    <n v="0"/>
    <n v="0"/>
    <n v="0"/>
    <n v="0"/>
    <n v="0"/>
    <n v="0"/>
    <n v="-63.213223899459535"/>
    <m/>
    <n v="0"/>
    <n v="0"/>
    <n v="0"/>
    <n v="0"/>
    <n v="-8.4442544222592915"/>
    <n v="-1.8731921995326068"/>
    <n v="0"/>
    <n v="0"/>
    <m/>
    <m/>
    <m/>
    <n v="5363.5918494301195"/>
    <n v="0"/>
    <n v="0"/>
    <n v="-1032.6771000000008"/>
    <n v="0"/>
    <n v="0"/>
    <n v="0"/>
    <n v="-953.07791764953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12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5.52"/>
    <n v="5.52"/>
    <n v="5.52"/>
    <n v="5.52"/>
    <m/>
    <n v="636.83000000000004"/>
    <n v="119.97"/>
    <m/>
    <n v="4177.5360000000001"/>
    <n v="4177.5360000000001"/>
    <n v="3673.7255999999993"/>
    <n v="0"/>
    <n v="0"/>
    <n v="0"/>
    <n v="0"/>
    <n v="0"/>
    <n v="593.61644362757545"/>
    <n v="2811.683476624336"/>
    <n v="662.25561100588004"/>
    <n v="0"/>
    <n v="0"/>
    <n v="0"/>
    <n v="0"/>
    <n v="0"/>
    <n v="0"/>
    <m/>
    <n v="11.875169106661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103722555500212"/>
    <n v="0"/>
    <n v="0"/>
    <n v="0"/>
    <n v="174.8"/>
    <n v="12"/>
    <m/>
    <m/>
    <m/>
    <m/>
    <m/>
    <m/>
    <m/>
    <n v="2387.8967999999995"/>
    <m/>
    <n v="760.35933356138025"/>
    <m/>
    <m/>
    <m/>
    <m/>
    <m/>
    <m/>
    <m/>
    <m/>
    <m/>
    <m/>
    <m/>
    <m/>
    <n v="1285.8287999999998"/>
    <n v="-176.33879999999999"/>
    <m/>
    <m/>
    <m/>
    <m/>
    <n v="-503.81040000000047"/>
    <n v="0"/>
    <n v="31"/>
    <n v="-4.1579130586774227"/>
    <n v="0"/>
    <n v="0"/>
    <n v="0"/>
    <n v="0"/>
    <n v="0"/>
    <n v="0"/>
    <n v="0"/>
    <n v="-3.1759547546489557"/>
    <n v="0"/>
    <n v="0"/>
    <n v="0"/>
    <n v="0"/>
    <n v="0"/>
    <n v="0"/>
    <n v="0"/>
    <n v="0"/>
    <n v="0"/>
    <m/>
    <n v="0"/>
    <n v="0"/>
    <n v="0"/>
    <n v="0"/>
    <n v="0"/>
    <n v="-0.98195830402848827"/>
    <n v="0"/>
    <n v="0"/>
    <m/>
    <m/>
    <m/>
    <n v="2811.683476624336"/>
    <n v="0"/>
    <n v="0"/>
    <n v="-503.8104000000003"/>
    <n v="0"/>
    <n v="0"/>
    <n v="0"/>
    <n v="-499.61919329776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13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1.169"/>
    <n v="11.169"/>
    <n v="11.169"/>
    <n v="11.169"/>
    <m/>
    <n v="636.83000000000004"/>
    <n v="119.97"/>
    <m/>
    <n v="8452.6992000000009"/>
    <n v="8452.6992000000009"/>
    <n v="7433.3045700000002"/>
    <n v="0"/>
    <n v="0"/>
    <n v="0"/>
    <n v="0"/>
    <n v="0"/>
    <n v="1201.1054454486214"/>
    <n v="5689.0747736263065"/>
    <n v="1339.9878477037455"/>
    <n v="0"/>
    <n v="0"/>
    <n v="0"/>
    <n v="0"/>
    <n v="0"/>
    <n v="0"/>
    <m/>
    <n v="24.027855752229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.50008645333008"/>
    <n v="0"/>
    <n v="0"/>
    <n v="0"/>
    <n v="607.91999999999996"/>
    <n v="32"/>
    <m/>
    <m/>
    <m/>
    <m/>
    <m/>
    <m/>
    <m/>
    <n v="2973.2994899999999"/>
    <m/>
    <n v="1538.4879341570756"/>
    <m/>
    <m/>
    <m/>
    <m/>
    <m/>
    <m/>
    <m/>
    <m/>
    <m/>
    <m/>
    <m/>
    <m/>
    <n v="4460.4043999999994"/>
    <n v="-611.24512000000232"/>
    <m/>
    <m/>
    <m/>
    <m/>
    <n v="-1019.3946300000011"/>
    <n v="0"/>
    <n v="31"/>
    <n v="-8.41299473774734"/>
    <n v="0"/>
    <n v="0"/>
    <n v="0"/>
    <n v="0"/>
    <n v="0"/>
    <n v="0"/>
    <n v="0"/>
    <n v="-6.4261301910639759"/>
    <n v="0"/>
    <n v="0"/>
    <n v="0"/>
    <n v="0"/>
    <n v="0"/>
    <n v="0"/>
    <n v="0"/>
    <n v="0"/>
    <n v="0"/>
    <m/>
    <n v="0"/>
    <n v="0"/>
    <n v="0"/>
    <n v="0"/>
    <n v="0"/>
    <n v="-1.98686454668373"/>
    <n v="0"/>
    <n v="0"/>
    <m/>
    <m/>
    <m/>
    <n v="5689.0747736263065"/>
    <n v="0"/>
    <n v="0"/>
    <n v="-1019.3946300000007"/>
    <n v="0"/>
    <n v="0"/>
    <n v="0"/>
    <n v="-1010.9142699171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10.829000000000001"/>
    <n v="10.829000000000001"/>
    <n v="10.829000000000001"/>
    <n v="10.829000000000001"/>
    <m/>
    <n v="636.83000000000004"/>
    <n v="119.97"/>
    <m/>
    <n v="8195.387200000001"/>
    <n v="8195.387200000001"/>
    <n v="7207.0243700000001"/>
    <n v="0"/>
    <n v="0"/>
    <n v="0"/>
    <n v="0"/>
    <n v="0"/>
    <n v="1164.5421137759085"/>
    <n v="5515.8913710806046"/>
    <n v="1299.1967412287456"/>
    <n v="0"/>
    <n v="0"/>
    <n v="0"/>
    <n v="0"/>
    <n v="0"/>
    <n v="0"/>
    <m/>
    <n v="23.2964141768189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.45746586114348"/>
    <n v="0"/>
    <n v="0"/>
    <n v="0"/>
    <n v="1088.51"/>
    <n v="93"/>
    <m/>
    <m/>
    <m/>
    <m/>
    <m/>
    <m/>
    <m/>
    <n v="720.56165999999951"/>
    <m/>
    <n v="1491.654207089889"/>
    <m/>
    <m/>
    <m/>
    <m/>
    <m/>
    <m/>
    <m/>
    <m/>
    <m/>
    <m/>
    <m/>
    <m/>
    <n v="6487.0617000000002"/>
    <n v="-888.81678000000102"/>
    <m/>
    <m/>
    <m/>
    <m/>
    <n v="-988.36283000000105"/>
    <n v="0"/>
    <n v="31"/>
    <n v="-8.1568913971768779"/>
    <n v="0"/>
    <n v="0"/>
    <n v="0"/>
    <n v="0"/>
    <n v="0"/>
    <n v="0"/>
    <n v="0"/>
    <n v="-6.2305097895095969"/>
    <n v="0"/>
    <n v="0"/>
    <n v="0"/>
    <n v="0"/>
    <n v="0"/>
    <n v="0"/>
    <n v="0"/>
    <n v="0"/>
    <n v="0"/>
    <m/>
    <n v="0"/>
    <n v="0"/>
    <n v="0"/>
    <n v="0"/>
    <n v="0"/>
    <n v="-1.92638160766748"/>
    <n v="0"/>
    <n v="0"/>
    <m/>
    <m/>
    <m/>
    <n v="5515.8913710806046"/>
    <n v="0"/>
    <n v="0"/>
    <n v="-988.36283000000094"/>
    <n v="0"/>
    <n v="0"/>
    <n v="0"/>
    <n v="-980.14062395316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15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3.0920000000000001"/>
    <n v="3.0920000000000001"/>
    <n v="3.0920000000000001"/>
    <n v="3.0920000000000001"/>
    <m/>
    <n v="636.83000000000004"/>
    <n v="119.97"/>
    <m/>
    <n v="2340.0256000000004"/>
    <n v="2340.0256000000004"/>
    <n v="2057.8187600000001"/>
    <n v="0"/>
    <n v="0"/>
    <n v="0"/>
    <n v="0"/>
    <n v="0"/>
    <n v="332.51123980008396"/>
    <n v="1574.9502372685592"/>
    <n v="370.95912123735167"/>
    <n v="0"/>
    <n v="0"/>
    <n v="0"/>
    <n v="0"/>
    <n v="0"/>
    <n v="0"/>
    <m/>
    <n v="6.6518157387315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952302561885269"/>
    <n v="0"/>
    <n v="0"/>
    <n v="0"/>
    <n v="421.43"/>
    <n v="47"/>
    <m/>
    <m/>
    <m/>
    <m/>
    <m/>
    <m/>
    <m/>
    <m/>
    <m/>
    <n v="425.91142379923696"/>
    <m/>
    <m/>
    <m/>
    <m/>
    <m/>
    <m/>
    <m/>
    <m/>
    <m/>
    <m/>
    <m/>
    <m/>
    <n v="2056.4876999999997"/>
    <n v="-283.56790000000092"/>
    <m/>
    <m/>
    <m/>
    <m/>
    <n v="-282.20684000000028"/>
    <n v="0"/>
    <n v="31"/>
    <n v="-2.3290339089546706"/>
    <n v="0"/>
    <n v="0"/>
    <n v="0"/>
    <n v="0"/>
    <n v="0"/>
    <n v="0"/>
    <n v="0"/>
    <n v="-1.7789949459011609"/>
    <n v="0"/>
    <n v="0"/>
    <n v="0"/>
    <n v="0"/>
    <n v="0"/>
    <n v="0"/>
    <n v="0"/>
    <n v="0"/>
    <n v="0"/>
    <m/>
    <n v="0"/>
    <n v="0"/>
    <n v="0"/>
    <n v="0"/>
    <n v="0"/>
    <n v="-0.55003896305363842"/>
    <n v="0"/>
    <n v="0"/>
    <m/>
    <m/>
    <m/>
    <n v="1574.9502372685592"/>
    <n v="0"/>
    <n v="0"/>
    <n v="-282.20684000000028"/>
    <n v="0"/>
    <n v="0"/>
    <n v="0"/>
    <n v="-279.85915682548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16"/>
    <s v="Regular"/>
    <s v="Convencional"/>
    <s v="B3"/>
    <s v="Industrial"/>
    <s v="Não se aplica"/>
    <s v="Não se aplica"/>
    <s v="Não se aplica"/>
    <s v="Não se aplica"/>
    <s v="CATIVO"/>
    <x v="10"/>
    <n v="0"/>
    <n v="0"/>
    <n v="120.703"/>
    <n v="120.703"/>
    <n v="120.703"/>
    <n v="120.703"/>
    <m/>
    <n v="707.13"/>
    <n v="119.97"/>
    <m/>
    <n v="99833.451300000001"/>
    <n v="99833.451300000001"/>
    <n v="87996.108089999994"/>
    <n v="0"/>
    <n v="7350.1946497180725"/>
    <n v="0"/>
    <n v="0"/>
    <n v="0"/>
    <n v="12980.305361445515"/>
    <n v="61481.635992570154"/>
    <n v="14481.202720152671"/>
    <n v="0"/>
    <n v="0"/>
    <n v="0"/>
    <n v="0"/>
    <n v="0"/>
    <n v="1135.8424978767075"/>
    <m/>
    <n v="259.66821316692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5.1836274667653"/>
    <n v="0"/>
    <n v="0"/>
    <n v="0"/>
    <n v="18023.29"/>
    <n v="67"/>
    <m/>
    <m/>
    <m/>
    <m/>
    <m/>
    <m/>
    <m/>
    <m/>
    <m/>
    <n v="16626.386347619435"/>
    <m/>
    <m/>
    <m/>
    <m/>
    <m/>
    <m/>
    <m/>
    <m/>
    <m/>
    <m/>
    <m/>
    <m/>
    <n v="87993.921000000002"/>
    <n v="-11839.560299999983"/>
    <m/>
    <m/>
    <m/>
    <m/>
    <n v="-11837.343210000006"/>
    <n v="0"/>
    <n v="31"/>
    <n v="-912.31235550181736"/>
    <n v="0"/>
    <n v="0"/>
    <n v="0"/>
    <n v="0"/>
    <n v="0"/>
    <n v="0"/>
    <n v="0"/>
    <n v="-69.446968614200159"/>
    <n v="0"/>
    <n v="0"/>
    <n v="0"/>
    <n v="0"/>
    <n v="0"/>
    <n v="0"/>
    <n v="0"/>
    <n v="0"/>
    <n v="-724.59883801865726"/>
    <m/>
    <n v="0"/>
    <n v="0"/>
    <n v="0"/>
    <n v="0"/>
    <n v="-96.794571845200835"/>
    <n v="-21.471977023759194"/>
    <n v="0"/>
    <n v="0"/>
    <m/>
    <m/>
    <m/>
    <n v="61481.635992570154"/>
    <n v="0"/>
    <n v="0"/>
    <n v="-11837.343210000006"/>
    <n v="0"/>
    <n v="0"/>
    <n v="0"/>
    <n v="-10924.915849387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17"/>
    <s v="Refaturamento - Regular"/>
    <s v="Convencional"/>
    <s v="B3"/>
    <s v="Industrial"/>
    <s v="Não se aplica"/>
    <s v="Não se aplica"/>
    <s v="Não se aplica"/>
    <s v="Não se aplica"/>
    <s v="CATIVO"/>
    <x v="10"/>
    <n v="0"/>
    <n v="0"/>
    <n v="-0.33900000000000002"/>
    <n v="-0.33900000000000002"/>
    <n v="-0.33900000000000002"/>
    <n v="-0.33900000000000002"/>
    <m/>
    <n v="707.13"/>
    <n v="119.97"/>
    <m/>
    <n v="-280.38690000000003"/>
    <n v="-280.38690000000003"/>
    <n v="-247.14116999999999"/>
    <n v="0"/>
    <n v="-20.643364176983393"/>
    <n v="0"/>
    <n v="0"/>
    <n v="0"/>
    <n v="-36.455792461910889"/>
    <n v="-172.67403959703805"/>
    <n v="-40.671132632426335"/>
    <n v="0"/>
    <n v="0"/>
    <n v="0"/>
    <n v="0"/>
    <n v="0"/>
    <n v="-3.1900665831023574"/>
    <m/>
    <n v="-0.729290276659122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0248481786801769"/>
    <n v="0"/>
    <n v="0"/>
    <n v="0"/>
    <n v="-82.38"/>
    <n v="0"/>
    <m/>
    <m/>
    <m/>
    <m/>
    <m/>
    <m/>
    <m/>
    <m/>
    <m/>
    <n v="-46.695980811106509"/>
    <m/>
    <m/>
    <m/>
    <m/>
    <m/>
    <m/>
    <m/>
    <m/>
    <m/>
    <m/>
    <m/>
    <m/>
    <n v="-247.87020000000001"/>
    <n v="32.486700000000042"/>
    <m/>
    <m/>
    <m/>
    <m/>
    <n v="33.245730000000016"/>
    <n v="0"/>
    <n v="31"/>
    <n v="2.5622717622189697"/>
    <n v="0"/>
    <n v="0"/>
    <n v="0"/>
    <n v="0"/>
    <n v="0"/>
    <n v="0"/>
    <n v="0"/>
    <n v="0.19504504743224516"/>
    <n v="0"/>
    <n v="0"/>
    <n v="0"/>
    <n v="0"/>
    <n v="0"/>
    <n v="0"/>
    <n v="0"/>
    <n v="0"/>
    <n v="2.0350696013216307"/>
    <m/>
    <n v="0"/>
    <n v="0"/>
    <n v="0"/>
    <n v="0"/>
    <n v="0.27185206544595442"/>
    <n v="6.0305048019140939E-2"/>
    <n v="0"/>
    <n v="0"/>
    <m/>
    <m/>
    <m/>
    <n v="-172.67403959703805"/>
    <n v="0"/>
    <n v="0"/>
    <n v="33.245730000000009"/>
    <n v="0"/>
    <n v="0"/>
    <n v="0"/>
    <n v="30.683135240569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18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2.363"/>
    <n v="2.363"/>
    <n v="2.363"/>
    <n v="2.363"/>
    <m/>
    <n v="707.13"/>
    <n v="119.97"/>
    <m/>
    <n v="1954.4373000000001"/>
    <n v="1954.4373000000001"/>
    <n v="1722.6978899999999"/>
    <n v="0"/>
    <n v="143.89460044310252"/>
    <n v="0"/>
    <n v="0"/>
    <n v="0"/>
    <n v="254.11515512535522"/>
    <n v="1203.6246476926278"/>
    <n v="283.49819000124904"/>
    <n v="0"/>
    <n v="0"/>
    <n v="0"/>
    <n v="0"/>
    <n v="0"/>
    <n v="22.236363822627933"/>
    <m/>
    <n v="5.08351894910178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996213115696925"/>
    <n v="0"/>
    <n v="0"/>
    <n v="0"/>
    <n v="696.41"/>
    <n v="2"/>
    <m/>
    <m/>
    <m/>
    <m/>
    <m/>
    <m/>
    <m/>
    <m/>
    <m/>
    <n v="325.49440311694599"/>
    <m/>
    <m/>
    <m/>
    <m/>
    <m/>
    <m/>
    <m/>
    <m/>
    <m/>
    <m/>
    <m/>
    <m/>
    <n v="1720.5107999999996"/>
    <n v="-233.95650000000046"/>
    <m/>
    <m/>
    <m/>
    <m/>
    <n v="-231.73941000000011"/>
    <n v="0"/>
    <n v="31"/>
    <n v="-17.860319097709407"/>
    <n v="0"/>
    <n v="0"/>
    <n v="0"/>
    <n v="0"/>
    <n v="0"/>
    <n v="0"/>
    <n v="0"/>
    <n v="-1.3595617908034967"/>
    <n v="0"/>
    <n v="0"/>
    <n v="0"/>
    <n v="0"/>
    <n v="0"/>
    <n v="0"/>
    <n v="0"/>
    <n v="0"/>
    <n v="-14.185455657590012"/>
    <m/>
    <n v="0"/>
    <n v="0"/>
    <n v="0"/>
    <n v="0"/>
    <n v="-1.8949452231527708"/>
    <n v="-0.42035642616292002"/>
    <n v="0"/>
    <n v="0"/>
    <m/>
    <m/>
    <m/>
    <n v="1203.6246476926278"/>
    <n v="0"/>
    <n v="0"/>
    <n v="-231.73941000000013"/>
    <n v="0"/>
    <n v="0"/>
    <n v="0"/>
    <n v="-213.87683944974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19"/>
    <s v="Regular"/>
    <s v="Verde"/>
    <s v="A4"/>
    <s v="Industrial"/>
    <s v="Não se aplica"/>
    <s v="Não se aplica"/>
    <s v="Não se aplica"/>
    <s v="Ponta"/>
    <s v="CATIVO"/>
    <x v="10"/>
    <n v="0"/>
    <n v="0"/>
    <n v="99.21"/>
    <n v="99.21"/>
    <n v="99.21"/>
    <n v="99.21"/>
    <m/>
    <n v="3312.96"/>
    <n v="119.97"/>
    <m/>
    <n v="340580.98529999994"/>
    <n v="340580.98529999994"/>
    <n v="295626.95009999996"/>
    <n v="0"/>
    <n v="5256.0014725625761"/>
    <n v="0"/>
    <n v="0"/>
    <n v="0"/>
    <n v="74173.265635505566"/>
    <n v="247349.46034520431"/>
    <n v="11902.604921719811"/>
    <n v="0"/>
    <n v="0"/>
    <n v="0"/>
    <n v="0"/>
    <n v="0"/>
    <n v="933.58851241765433"/>
    <m/>
    <n v="83.4090209811753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3.35070104128874"/>
    <n v="0"/>
    <n v="0"/>
    <n v="0"/>
    <n v="0"/>
    <n v="0"/>
    <m/>
    <m/>
    <m/>
    <m/>
    <m/>
    <m/>
    <m/>
    <m/>
    <m/>
    <n v="12785.955622761099"/>
    <m/>
    <m/>
    <m/>
    <m/>
    <m/>
    <m/>
    <m/>
    <m/>
    <m/>
    <m/>
    <m/>
    <m/>
    <n v="295626.95009999996"/>
    <n v="-44954.065200000012"/>
    <m/>
    <m/>
    <m/>
    <m/>
    <n v="-44954.035199999984"/>
    <n v="0"/>
    <n v="31"/>
    <n v="-1001.4447706143837"/>
    <n v="0"/>
    <n v="0"/>
    <n v="0"/>
    <n v="0"/>
    <n v="0"/>
    <n v="0"/>
    <n v="0"/>
    <n v="-396.84031362661335"/>
    <n v="0"/>
    <n v="0"/>
    <n v="0"/>
    <n v="0"/>
    <n v="0"/>
    <n v="0"/>
    <n v="0"/>
    <n v="0"/>
    <n v="-518.14853090853103"/>
    <m/>
    <n v="0"/>
    <n v="0"/>
    <n v="0"/>
    <n v="0"/>
    <n v="-79.558830126528392"/>
    <n v="-6.8970959527138973"/>
    <n v="0"/>
    <n v="0"/>
    <m/>
    <m/>
    <m/>
    <n v="247349.46034520431"/>
    <n v="0"/>
    <n v="0"/>
    <n v="-44954.035199999984"/>
    <n v="0"/>
    <n v="0"/>
    <n v="0"/>
    <n v="-43952.50705412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20"/>
    <s v="Sistema de Compensação"/>
    <s v="Verde"/>
    <s v="A4"/>
    <s v="Industrial"/>
    <s v="Não se aplica"/>
    <s v="Não se aplica"/>
    <s v="Não se aplica"/>
    <s v="Ponta"/>
    <s v="CATIVO"/>
    <x v="10"/>
    <n v="0"/>
    <n v="0"/>
    <n v="2.9039999999999999"/>
    <n v="2.9039999999999999"/>
    <n v="2.9039999999999999"/>
    <n v="2.9039999999999999"/>
    <m/>
    <n v="3312.96"/>
    <n v="119.97"/>
    <m/>
    <n v="9969.2287199999992"/>
    <n v="9969.2287199999992"/>
    <n v="8653.3682399999998"/>
    <n v="0"/>
    <n v="153.84969535653383"/>
    <n v="0"/>
    <n v="0"/>
    <n v="0"/>
    <n v="2171.1436690405017"/>
    <n v="7240.2261147311092"/>
    <n v="348.4040388335282"/>
    <n v="0"/>
    <n v="0"/>
    <n v="0"/>
    <n v="0"/>
    <n v="0"/>
    <n v="27.327296039319307"/>
    <m/>
    <n v="2.44148570637368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856772863863547"/>
    <n v="0"/>
    <n v="0"/>
    <n v="0"/>
    <n v="0"/>
    <n v="0"/>
    <m/>
    <m/>
    <m/>
    <m/>
    <m/>
    <m/>
    <m/>
    <m/>
    <m/>
    <n v="374.26081169739177"/>
    <m/>
    <m/>
    <m/>
    <m/>
    <m/>
    <m/>
    <m/>
    <m/>
    <m/>
    <m/>
    <m/>
    <m/>
    <n v="8641.4490000000005"/>
    <n v="-1327.8097199999993"/>
    <m/>
    <m/>
    <m/>
    <m/>
    <n v="-1315.8604799999996"/>
    <n v="0"/>
    <n v="31"/>
    <n v="-29.313533049734815"/>
    <n v="0"/>
    <n v="0"/>
    <n v="0"/>
    <n v="0"/>
    <n v="0"/>
    <n v="0"/>
    <n v="0"/>
    <n v="-11.616009180240781"/>
    <n v="0"/>
    <n v="0"/>
    <n v="0"/>
    <n v="0"/>
    <n v="0"/>
    <n v="0"/>
    <n v="0"/>
    <n v="0"/>
    <n v="-15.16685146415054"/>
    <m/>
    <n v="0"/>
    <n v="0"/>
    <n v="0"/>
    <n v="0"/>
    <n v="-2.3287858349706561"/>
    <n v="-0.20188657037275659"/>
    <n v="0"/>
    <n v="0"/>
    <m/>
    <m/>
    <m/>
    <n v="7240.2261147311092"/>
    <n v="0"/>
    <n v="0"/>
    <n v="-1315.8604799999994"/>
    <n v="0"/>
    <n v="0"/>
    <n v="0"/>
    <n v="-1286.5445064528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21"/>
    <s v="Regular"/>
    <s v="Verde"/>
    <s v="A4"/>
    <s v="Industrial"/>
    <s v="Não se aplica"/>
    <s v="Não se aplica"/>
    <s v="Não se aplica"/>
    <s v="Fora ponta"/>
    <s v="CATIVO"/>
    <x v="10"/>
    <n v="0"/>
    <n v="0"/>
    <n v="2235.3539999999998"/>
    <n v="2235.3539999999998"/>
    <n v="2235.3539999999998"/>
    <n v="2235.3539999999998"/>
    <m/>
    <n v="72.13"/>
    <n v="119.97"/>
    <m/>
    <n v="429411.50339999993"/>
    <n v="429411.50339999993"/>
    <n v="415798.19753999996"/>
    <n v="0"/>
    <n v="118425.80300069191"/>
    <n v="0"/>
    <n v="0"/>
    <n v="0"/>
    <n v="0"/>
    <n v="0"/>
    <n v="268184.00889210834"/>
    <n v="0"/>
    <n v="0"/>
    <n v="0"/>
    <n v="0"/>
    <n v="0"/>
    <n v="21035.186126266035"/>
    <m/>
    <n v="1879.33362248114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03.250911958967"/>
    <n v="0"/>
    <n v="0"/>
    <n v="0"/>
    <n v="0"/>
    <n v="0"/>
    <m/>
    <m/>
    <m/>
    <m/>
    <m/>
    <m/>
    <m/>
    <m/>
    <m/>
    <n v="288087.25980406732"/>
    <m/>
    <m/>
    <m/>
    <m/>
    <m/>
    <m/>
    <m/>
    <m/>
    <m/>
    <m/>
    <m/>
    <m/>
    <n v="415797.45349999995"/>
    <n v="-13614.079900000012"/>
    <m/>
    <m/>
    <m/>
    <m/>
    <n v="-13613.305859999975"/>
    <n v="0"/>
    <n v="31"/>
    <n v="-13622.66899854294"/>
    <n v="0"/>
    <n v="0"/>
    <n v="0"/>
    <n v="0"/>
    <n v="0"/>
    <n v="0"/>
    <n v="0"/>
    <n v="0"/>
    <n v="0"/>
    <n v="0"/>
    <n v="0"/>
    <n v="0"/>
    <n v="0"/>
    <n v="0"/>
    <n v="0"/>
    <n v="0"/>
    <n v="-11674.683914529873"/>
    <m/>
    <n v="0"/>
    <n v="0"/>
    <n v="0"/>
    <n v="0"/>
    <n v="-1792.5828964686625"/>
    <n v="-155.40218754442913"/>
    <n v="0"/>
    <n v="0"/>
    <m/>
    <m/>
    <m/>
    <n v="0"/>
    <n v="0"/>
    <n v="0"/>
    <n v="-13613.305859999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22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15.888999999999999"/>
    <n v="15.888999999999999"/>
    <n v="15.888999999999999"/>
    <n v="15.888999999999999"/>
    <m/>
    <n v="72.13"/>
    <n v="119.97"/>
    <m/>
    <n v="3052.2768999999998"/>
    <n v="3052.2768999999998"/>
    <n v="2955.51289"/>
    <n v="0"/>
    <n v="841.77610520659994"/>
    <n v="0"/>
    <n v="0"/>
    <n v="0"/>
    <n v="0"/>
    <n v="0"/>
    <n v="1906.2643846508022"/>
    <n v="0"/>
    <n v="0"/>
    <n v="0"/>
    <n v="0"/>
    <n v="0"/>
    <n v="149.51907946582108"/>
    <m/>
    <n v="13.3583906296733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47323141664185"/>
    <n v="0"/>
    <n v="0"/>
    <n v="0"/>
    <n v="0"/>
    <n v="0"/>
    <m/>
    <m/>
    <m/>
    <m/>
    <m/>
    <m/>
    <m/>
    <m/>
    <m/>
    <n v="2047.7376160674439"/>
    <m/>
    <m/>
    <m/>
    <m/>
    <m/>
    <m/>
    <m/>
    <m/>
    <m/>
    <m/>
    <m/>
    <m/>
    <n v="2955.6989000000003"/>
    <n v="-96.607999999999265"/>
    <m/>
    <m/>
    <m/>
    <m/>
    <n v="-96.764009999999828"/>
    <n v="0"/>
    <n v="31"/>
    <n v="-96.830563623412218"/>
    <n v="0"/>
    <n v="0"/>
    <n v="0"/>
    <n v="0"/>
    <n v="0"/>
    <n v="0"/>
    <n v="0"/>
    <n v="0"/>
    <n v="0"/>
    <n v="0"/>
    <n v="0"/>
    <n v="0"/>
    <n v="0"/>
    <n v="0"/>
    <n v="0"/>
    <n v="0"/>
    <n v="-82.984195218281002"/>
    <m/>
    <n v="0"/>
    <n v="0"/>
    <n v="0"/>
    <n v="0"/>
    <n v="-12.741762442096643"/>
    <n v="-1.1046059630346843"/>
    <n v="0"/>
    <n v="0"/>
    <m/>
    <m/>
    <m/>
    <n v="0"/>
    <n v="0"/>
    <n v="0"/>
    <n v="-96.764009999999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23"/>
    <s v="Regular"/>
    <s v="Verde"/>
    <s v="A4"/>
    <s v="Industrial"/>
    <s v="Não se aplica"/>
    <s v="Não se aplica"/>
    <s v="Não se aplica"/>
    <s v="Não se aplica"/>
    <s v="CATIVO"/>
    <x v="10"/>
    <n v="10435"/>
    <n v="10435"/>
    <n v="0"/>
    <n v="0"/>
    <n v="0"/>
    <n v="0"/>
    <n v="46.29"/>
    <m/>
    <m/>
    <n v="483036.14999999997"/>
    <m/>
    <n v="483036.14999999997"/>
    <n v="429400.25"/>
    <n v="0"/>
    <n v="0"/>
    <n v="0"/>
    <n v="0"/>
    <n v="0"/>
    <n v="186922.28411763842"/>
    <n v="296076.7244083844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23372.07"/>
    <n v="26"/>
    <m/>
    <m/>
    <m/>
    <m/>
    <m/>
    <m/>
    <m/>
    <m/>
    <m/>
    <n v="0"/>
    <m/>
    <m/>
    <m/>
    <m/>
    <m/>
    <m/>
    <m/>
    <m/>
    <m/>
    <m/>
    <m/>
    <m/>
    <n v="429400.25"/>
    <n v="-53635.929999999993"/>
    <m/>
    <m/>
    <m/>
    <m/>
    <n v="-53635.900000000009"/>
    <n v="0"/>
    <n v="31"/>
    <n v="-1000.0678440880147"/>
    <n v="0"/>
    <n v="0"/>
    <n v="0"/>
    <n v="0"/>
    <m/>
    <m/>
    <m/>
    <n v="-1000.06784408801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6076.72440838447"/>
    <m/>
    <n v="0"/>
    <n v="0"/>
    <n v="-53635.899999999965"/>
    <m/>
    <n v="0"/>
    <m/>
    <n v="-52611.047947957268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324"/>
    <s v="Sistema de Compensação"/>
    <s v="Verde"/>
    <s v="A4"/>
    <s v="Industrial"/>
    <s v="Não se aplica"/>
    <s v="Não se aplica"/>
    <s v="Não se aplica"/>
    <s v="Não se aplica"/>
    <s v="CATIVO"/>
    <x v="10"/>
    <n v="74"/>
    <n v="74"/>
    <n v="0"/>
    <n v="0"/>
    <n v="0"/>
    <n v="0"/>
    <n v="46.29"/>
    <m/>
    <m/>
    <n v="3425.46"/>
    <m/>
    <n v="3425.46"/>
    <n v="3045.1"/>
    <n v="0"/>
    <n v="0"/>
    <n v="0"/>
    <n v="0"/>
    <n v="0"/>
    <n v="1325.5629156401767"/>
    <n v="2099.63369489414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372.02"/>
    <n v="1"/>
    <m/>
    <m/>
    <m/>
    <m/>
    <m/>
    <m/>
    <m/>
    <m/>
    <m/>
    <n v="0"/>
    <m/>
    <m/>
    <m/>
    <m/>
    <m/>
    <m/>
    <m/>
    <m/>
    <m/>
    <m/>
    <m/>
    <m/>
    <n v="3045.1"/>
    <n v="-380.39000000000078"/>
    <m/>
    <m/>
    <m/>
    <m/>
    <n v="-380.36"/>
    <n v="0"/>
    <n v="31"/>
    <n v="-7.0920000443231856"/>
    <n v="0"/>
    <n v="0"/>
    <n v="0"/>
    <n v="0"/>
    <m/>
    <m/>
    <m/>
    <n v="-7.09200004432318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99.6336948941498"/>
    <m/>
    <n v="0"/>
    <n v="0"/>
    <n v="-380.36000000000013"/>
    <m/>
    <n v="0"/>
    <m/>
    <n v="-373.09224227588311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325"/>
    <s v="Regular"/>
    <s v="Branca"/>
    <s v="B3"/>
    <s v="Industrial"/>
    <s v="Não se aplica"/>
    <s v="Não se aplica"/>
    <s v="Não se aplica"/>
    <s v="Ponta"/>
    <s v="CATIVO"/>
    <x v="10"/>
    <n v="0"/>
    <n v="0"/>
    <n v="9.2999999999999999E-2"/>
    <n v="9.2999999999999999E-2"/>
    <n v="9.2999999999999999E-2"/>
    <n v="9.2999999999999999E-2"/>
    <m/>
    <n v="2187.66"/>
    <n v="119.97"/>
    <m/>
    <n v="214.60958999999997"/>
    <n v="214.60958999999997"/>
    <n v="185.15834999999998"/>
    <n v="0"/>
    <n v="5.6632238007653557"/>
    <n v="0"/>
    <n v="0"/>
    <n v="0"/>
    <n v="34.000487035519193"/>
    <n v="161.0605467495503"/>
    <n v="11.157567359338197"/>
    <n v="0"/>
    <n v="0"/>
    <n v="0"/>
    <n v="0"/>
    <n v="0"/>
    <n v="0.87515100952365543"/>
    <m/>
    <n v="0.200070783862237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528344560981016"/>
    <n v="0"/>
    <n v="0"/>
    <n v="0"/>
    <n v="0"/>
    <n v="0"/>
    <m/>
    <m/>
    <m/>
    <m/>
    <m/>
    <m/>
    <m/>
    <m/>
    <m/>
    <n v="12.810401815436299"/>
    <m/>
    <m/>
    <m/>
    <m/>
    <m/>
    <m/>
    <m/>
    <m/>
    <m/>
    <m/>
    <m/>
    <m/>
    <n v="179.18549999999999"/>
    <n v="-35.454089999999951"/>
    <m/>
    <m/>
    <m/>
    <m/>
    <n v="-29.451239999999984"/>
    <n v="0"/>
    <n v="31"/>
    <n v="-0.83132490012739879"/>
    <n v="0"/>
    <n v="0"/>
    <n v="0"/>
    <n v="0"/>
    <n v="0"/>
    <n v="0"/>
    <n v="0"/>
    <n v="-0.18190872173458672"/>
    <n v="0"/>
    <n v="0"/>
    <n v="0"/>
    <n v="0"/>
    <n v="0"/>
    <n v="0"/>
    <n v="0"/>
    <n v="0"/>
    <n v="-0.55829343045106672"/>
    <m/>
    <n v="0"/>
    <n v="0"/>
    <n v="0"/>
    <n v="0"/>
    <n v="-7.4578885210836998E-2"/>
    <n v="-1.6543862730914738E-2"/>
    <n v="0"/>
    <n v="0"/>
    <m/>
    <m/>
    <m/>
    <n v="161.0605467495503"/>
    <n v="0"/>
    <n v="0"/>
    <n v="-29.451239999999984"/>
    <n v="0"/>
    <n v="0"/>
    <n v="0"/>
    <n v="-28.61948761590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26"/>
    <s v="Sistema de Compensação"/>
    <s v="Branca"/>
    <s v="B3"/>
    <s v="Industrial"/>
    <s v="Não se aplica"/>
    <s v="Não se aplica"/>
    <s v="Não se aplica"/>
    <s v="Ponta"/>
    <s v="CATIVO"/>
    <x v="10"/>
    <n v="0"/>
    <n v="0"/>
    <n v="0.02"/>
    <n v="0.02"/>
    <n v="0.02"/>
    <n v="0.02"/>
    <m/>
    <n v="2187.66"/>
    <n v="119.97"/>
    <m/>
    <n v="46.1526"/>
    <n v="46.1526"/>
    <n v="39.819000000000003"/>
    <n v="0"/>
    <n v="1.2178975915624421"/>
    <n v="0"/>
    <n v="0"/>
    <n v="0"/>
    <n v="7.3119326958105795"/>
    <n v="34.636676720333398"/>
    <n v="2.3994768514705802"/>
    <n v="0"/>
    <n v="0"/>
    <n v="0"/>
    <n v="0"/>
    <n v="0"/>
    <n v="0.18820451817713021"/>
    <m/>
    <n v="4.30259750241370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5544827012862401"/>
    <n v="0"/>
    <n v="0"/>
    <n v="0"/>
    <n v="0"/>
    <n v="0"/>
    <m/>
    <m/>
    <m/>
    <m/>
    <m/>
    <m/>
    <m/>
    <m/>
    <m/>
    <n v="2.7549251215992041"/>
    <m/>
    <m/>
    <m/>
    <m/>
    <m/>
    <m/>
    <m/>
    <m/>
    <m/>
    <m/>
    <m/>
    <m/>
    <n v="39.819000000000003"/>
    <n v="-6.363599999999991"/>
    <m/>
    <m/>
    <m/>
    <m/>
    <n v="-6.333599999999997"/>
    <n v="0"/>
    <n v="31"/>
    <n v="-0.17877954841449473"/>
    <n v="0"/>
    <n v="0"/>
    <n v="0"/>
    <n v="0"/>
    <n v="0"/>
    <n v="0"/>
    <n v="0"/>
    <n v="-3.9120155211739949E-2"/>
    <n v="0"/>
    <n v="0"/>
    <n v="0"/>
    <n v="0"/>
    <n v="0"/>
    <n v="0"/>
    <n v="0"/>
    <n v="0"/>
    <n v="-0.12006310332281012"/>
    <m/>
    <n v="0"/>
    <n v="0"/>
    <n v="0"/>
    <n v="0"/>
    <n v="-1.6038469937814409E-2"/>
    <n v="-3.5578199421322093E-3"/>
    <n v="0"/>
    <n v="0"/>
    <m/>
    <m/>
    <m/>
    <n v="34.636676720333398"/>
    <n v="0"/>
    <n v="0"/>
    <n v="-6.333599999999997"/>
    <n v="0"/>
    <n v="0"/>
    <n v="0"/>
    <n v="-6.1547285195503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27"/>
    <s v="Regular"/>
    <s v="Branca"/>
    <s v="B3"/>
    <s v="Industrial"/>
    <s v="Não se aplica"/>
    <s v="Não se aplica"/>
    <s v="Não se aplica"/>
    <s v="Fora ponta"/>
    <s v="CATIVO"/>
    <x v="10"/>
    <n v="0"/>
    <n v="0"/>
    <n v="32.578000000000003"/>
    <n v="32.578000000000003"/>
    <n v="32.578000000000003"/>
    <n v="32.578000000000003"/>
    <m/>
    <n v="509.72"/>
    <n v="119.97"/>
    <m/>
    <n v="20514.040820000002"/>
    <n v="20514.040820000002"/>
    <n v="18268.439280000002"/>
    <n v="0"/>
    <n v="1983.8333868960619"/>
    <n v="0"/>
    <n v="0"/>
    <n v="0"/>
    <n v="2382.0814336411677"/>
    <n v="11283.945799331768"/>
    <n v="3908.5078433604281"/>
    <n v="0"/>
    <n v="0"/>
    <n v="0"/>
    <n v="0"/>
    <n v="0"/>
    <n v="306.56633965872743"/>
    <m/>
    <n v="70.085010716816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8.98968721251572"/>
    <n v="0"/>
    <n v="0"/>
    <n v="0"/>
    <n v="0"/>
    <n v="0"/>
    <m/>
    <m/>
    <m/>
    <m/>
    <m/>
    <m/>
    <m/>
    <m/>
    <m/>
    <n v="4487.497530572944"/>
    <m/>
    <m/>
    <m/>
    <m/>
    <m/>
    <m/>
    <m/>
    <m/>
    <m/>
    <m/>
    <m/>
    <m/>
    <n v="18269.560799999999"/>
    <n v="-2244.5100199999979"/>
    <m/>
    <m/>
    <m/>
    <m/>
    <n v="-2245.6015400000006"/>
    <n v="0"/>
    <n v="31"/>
    <n v="-240.23574975284828"/>
    <n v="0"/>
    <n v="0"/>
    <n v="0"/>
    <n v="0"/>
    <n v="0"/>
    <n v="0"/>
    <n v="0"/>
    <n v="-12.744564164877374"/>
    <n v="0"/>
    <n v="0"/>
    <n v="0"/>
    <n v="0"/>
    <n v="0"/>
    <n v="0"/>
    <n v="0"/>
    <n v="0"/>
    <n v="-195.57078900252532"/>
    <m/>
    <n v="0"/>
    <n v="0"/>
    <n v="0"/>
    <n v="0"/>
    <n v="-26.12506368170591"/>
    <n v="-5.7953329037391512"/>
    <n v="0"/>
    <n v="0"/>
    <m/>
    <m/>
    <m/>
    <n v="11283.945799331768"/>
    <n v="0"/>
    <n v="0"/>
    <n v="-2245.6015400000015"/>
    <n v="0"/>
    <n v="0"/>
    <n v="0"/>
    <n v="-2005.08910207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28"/>
    <s v="Sistema de Compensação"/>
    <s v="Branca"/>
    <s v="B3"/>
    <s v="Industrial"/>
    <s v="Não se aplica"/>
    <s v="Não se aplica"/>
    <s v="Não se aplica"/>
    <s v="Fora ponta"/>
    <s v="CATIVO"/>
    <x v="10"/>
    <n v="0"/>
    <n v="0"/>
    <n v="0.17499999999999999"/>
    <n v="0.17499999999999999"/>
    <n v="0.17499999999999999"/>
    <n v="0.17499999999999999"/>
    <m/>
    <n v="509.72"/>
    <n v="119.97"/>
    <m/>
    <n v="110.19574999999999"/>
    <n v="110.19574999999999"/>
    <n v="98.132999999999996"/>
    <n v="0"/>
    <n v="10.656603926171368"/>
    <n v="0"/>
    <n v="0"/>
    <n v="0"/>
    <n v="12.795882217668497"/>
    <n v="60.614233988675153"/>
    <n v="20.995422450367574"/>
    <n v="0"/>
    <n v="0"/>
    <n v="0"/>
    <n v="0"/>
    <n v="0"/>
    <n v="1.6467895340498893"/>
    <m/>
    <n v="0.376477281461198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101723636254599"/>
    <n v="0"/>
    <n v="0"/>
    <n v="0"/>
    <n v="0"/>
    <n v="0"/>
    <m/>
    <m/>
    <m/>
    <m/>
    <m/>
    <m/>
    <m/>
    <m/>
    <m/>
    <n v="24.105594813993033"/>
    <m/>
    <m/>
    <m/>
    <m/>
    <m/>
    <m/>
    <m/>
    <m/>
    <m/>
    <m/>
    <m/>
    <m/>
    <n v="100.93680000000001"/>
    <n v="-9.2889499999999998"/>
    <m/>
    <m/>
    <m/>
    <m/>
    <n v="-12.062750000000001"/>
    <n v="0"/>
    <n v="31"/>
    <n v="-1.2904799621446514"/>
    <n v="0"/>
    <n v="0"/>
    <n v="0"/>
    <n v="0"/>
    <n v="0"/>
    <n v="0"/>
    <n v="0"/>
    <n v="-6.8460271620528701E-2"/>
    <n v="0"/>
    <n v="0"/>
    <n v="0"/>
    <n v="0"/>
    <n v="0"/>
    <n v="0"/>
    <n v="0"/>
    <n v="0"/>
    <n v="-1.0505521540745892"/>
    <m/>
    <n v="0"/>
    <n v="0"/>
    <n v="0"/>
    <n v="0"/>
    <n v="-0.14033661195587621"/>
    <n v="-3.1130924493656786E-2"/>
    <n v="0"/>
    <n v="0"/>
    <m/>
    <m/>
    <m/>
    <n v="60.614233988675153"/>
    <n v="0"/>
    <n v="0"/>
    <n v="-12.062749999999994"/>
    <n v="0"/>
    <n v="0"/>
    <n v="0"/>
    <n v="-10.770783745595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29"/>
    <s v="Regular"/>
    <s v="Branca"/>
    <s v="B3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809.19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330"/>
    <s v="Sistema de Compensação"/>
    <s v="Branca"/>
    <s v="B3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06.0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331"/>
    <s v="Regular"/>
    <s v="Branca"/>
    <s v="B3"/>
    <s v="Industrial"/>
    <s v="Não se aplica"/>
    <s v="Não se aplica"/>
    <s v="Não se aplica"/>
    <s v="Intermediário"/>
    <s v="CATIVO"/>
    <x v="10"/>
    <n v="0"/>
    <n v="0"/>
    <n v="0.113"/>
    <n v="0.113"/>
    <n v="0.113"/>
    <n v="0.113"/>
    <m/>
    <n v="1348.63"/>
    <n v="119.97"/>
    <m/>
    <n v="165.95180000000002"/>
    <n v="165.95180000000002"/>
    <n v="144.16540000000001"/>
    <n v="0"/>
    <n v="6.8811213923277972"/>
    <n v="0"/>
    <n v="0"/>
    <n v="0"/>
    <n v="24.780543407404597"/>
    <n v="117.41832337855078"/>
    <n v="13.557044210808778"/>
    <n v="0"/>
    <n v="0"/>
    <n v="0"/>
    <n v="0"/>
    <n v="0"/>
    <n v="1.0633555277007858"/>
    <m/>
    <n v="0.24309675888637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082827262267258"/>
    <n v="0"/>
    <n v="0"/>
    <n v="0"/>
    <n v="0"/>
    <n v="0"/>
    <m/>
    <m/>
    <m/>
    <m/>
    <m/>
    <m/>
    <m/>
    <m/>
    <m/>
    <n v="15.565326937035504"/>
    <m/>
    <m/>
    <m/>
    <m/>
    <m/>
    <m/>
    <m/>
    <m/>
    <m/>
    <m/>
    <m/>
    <m/>
    <n v="140.33799999999999"/>
    <n v="-25.643799999999999"/>
    <m/>
    <m/>
    <m/>
    <m/>
    <n v="-21.786400000000022"/>
    <n v="0"/>
    <n v="31"/>
    <n v="-0.92165593641266241"/>
    <n v="0"/>
    <n v="0"/>
    <n v="0"/>
    <n v="0"/>
    <n v="0"/>
    <n v="0"/>
    <n v="0"/>
    <n v="-0.13258036481708757"/>
    <n v="0"/>
    <n v="0"/>
    <n v="0"/>
    <n v="0"/>
    <n v="0"/>
    <n v="0"/>
    <n v="0"/>
    <n v="0"/>
    <n v="-0.67835653377387661"/>
    <m/>
    <n v="0"/>
    <n v="0"/>
    <n v="0"/>
    <n v="0"/>
    <n v="-9.0617355148651546E-2"/>
    <n v="-2.0101682673046961E-2"/>
    <n v="0"/>
    <n v="0"/>
    <m/>
    <m/>
    <m/>
    <n v="117.41832337855078"/>
    <n v="0"/>
    <n v="0"/>
    <n v="-21.786400000000015"/>
    <n v="0"/>
    <n v="0"/>
    <n v="0"/>
    <n v="-20.864527779350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32"/>
    <s v="Sistema de Compensação"/>
    <s v="Branca"/>
    <s v="B3"/>
    <s v="Industrial"/>
    <s v="Não se aplica"/>
    <s v="Não se aplica"/>
    <s v="Não se aplica"/>
    <s v="Intermediário"/>
    <s v="CATIVO"/>
    <x v="10"/>
    <n v="0"/>
    <n v="0"/>
    <n v="1.2999999999999999E-2"/>
    <n v="1.2999999999999999E-2"/>
    <n v="1.2999999999999999E-2"/>
    <n v="1.2999999999999999E-2"/>
    <m/>
    <n v="1348.63"/>
    <n v="119.97"/>
    <m/>
    <n v="19.091799999999999"/>
    <n v="19.091799999999999"/>
    <n v="16.5854"/>
    <n v="0"/>
    <n v="0.79163343451558732"/>
    <n v="0"/>
    <n v="0"/>
    <n v="0"/>
    <n v="2.8508589760730949"/>
    <n v="13.508302689567788"/>
    <n v="1.5596599534558768"/>
    <n v="0"/>
    <n v="0"/>
    <n v="0"/>
    <n v="0"/>
    <n v="0"/>
    <n v="0.12233293681513463"/>
    <m/>
    <n v="2.796688376568905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3104137558360557"/>
    <n v="0"/>
    <n v="0"/>
    <n v="0"/>
    <n v="0"/>
    <n v="0"/>
    <m/>
    <m/>
    <m/>
    <m/>
    <m/>
    <m/>
    <m/>
    <m/>
    <m/>
    <n v="1.7907013290394824"/>
    <m/>
    <m/>
    <m/>
    <m/>
    <m/>
    <m/>
    <m/>
    <m/>
    <m/>
    <m/>
    <m/>
    <m/>
    <n v="12.757999999999999"/>
    <n v="-6.3638000000000048"/>
    <m/>
    <m/>
    <m/>
    <m/>
    <n v="-2.5064000000000024"/>
    <n v="0"/>
    <n v="31"/>
    <n v="-0.10603121392358084"/>
    <n v="0"/>
    <n v="0"/>
    <n v="0"/>
    <n v="0"/>
    <n v="0"/>
    <n v="0"/>
    <n v="0"/>
    <n v="-1.5252608341788765E-2"/>
    <n v="0"/>
    <n v="0"/>
    <n v="0"/>
    <n v="0"/>
    <n v="0"/>
    <n v="0"/>
    <n v="0"/>
    <n v="0"/>
    <n v="-7.8041017159826587E-2"/>
    <m/>
    <n v="0"/>
    <n v="0"/>
    <n v="0"/>
    <n v="0"/>
    <n v="-1.0425005459579376E-2"/>
    <n v="-2.3125829623859354E-3"/>
    <n v="0"/>
    <n v="0"/>
    <m/>
    <m/>
    <m/>
    <n v="13.508302689567788"/>
    <n v="0"/>
    <n v="0"/>
    <n v="-2.5064000000000011"/>
    <n v="0"/>
    <n v="0"/>
    <n v="0"/>
    <n v="-2.4003439038190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33"/>
    <s v="Regular"/>
    <s v="Convencional"/>
    <s v="B3"/>
    <s v="Comercial"/>
    <s v="Não se aplica"/>
    <s v="Não se aplica"/>
    <s v="Não se aplica"/>
    <s v="Não se aplica"/>
    <s v="CATIVO"/>
    <x v="10"/>
    <n v="0"/>
    <n v="0"/>
    <n v="78.19"/>
    <n v="78.19"/>
    <n v="78.19"/>
    <n v="78.19"/>
    <m/>
    <n v="707.13"/>
    <n v="119.97"/>
    <m/>
    <n v="64670.948999999993"/>
    <n v="64670.948999999993"/>
    <n v="57002.855699999993"/>
    <n v="0"/>
    <n v="4761.3706342133673"/>
    <n v="0"/>
    <n v="0"/>
    <n v="0"/>
    <n v="8408.4908926159642"/>
    <n v="39827.088956024789"/>
    <n v="9380.7547508242315"/>
    <n v="0"/>
    <n v="0"/>
    <n v="0"/>
    <n v="0"/>
    <n v="0"/>
    <n v="735.78556381349051"/>
    <m/>
    <n v="168.210049356863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9.6250120678556"/>
    <n v="0"/>
    <n v="0"/>
    <n v="0"/>
    <n v="10793.28"/>
    <n v="265"/>
    <m/>
    <m/>
    <m/>
    <m/>
    <m/>
    <m/>
    <m/>
    <m/>
    <m/>
    <n v="10770.379762892087"/>
    <m/>
    <m/>
    <m/>
    <m/>
    <m/>
    <m/>
    <m/>
    <m/>
    <m/>
    <m/>
    <m/>
    <m/>
    <n v="57002.855699999993"/>
    <n v="-7668.1233000000066"/>
    <m/>
    <m/>
    <m/>
    <m/>
    <n v="-7668.0933000000041"/>
    <n v="0"/>
    <n v="31"/>
    <n v="-590.98533654247876"/>
    <n v="0"/>
    <n v="0"/>
    <n v="0"/>
    <n v="0"/>
    <n v="0"/>
    <n v="0"/>
    <n v="0"/>
    <n v="-44.986938816302427"/>
    <n v="0"/>
    <n v="0"/>
    <n v="0"/>
    <n v="0"/>
    <n v="0"/>
    <n v="0"/>
    <n v="0"/>
    <n v="0"/>
    <n v="-469.38670244052628"/>
    <m/>
    <n v="0"/>
    <n v="0"/>
    <n v="0"/>
    <n v="0"/>
    <n v="-62.70239822188546"/>
    <n v="-13.909297063765848"/>
    <n v="0"/>
    <n v="0"/>
    <m/>
    <m/>
    <m/>
    <n v="39827.088956024789"/>
    <n v="0"/>
    <n v="0"/>
    <n v="-7668.0933000000005"/>
    <n v="0"/>
    <n v="0"/>
    <n v="0"/>
    <n v="-7077.0334644840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34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12.518000000000001"/>
    <n v="12.518000000000001"/>
    <n v="12.518000000000001"/>
    <n v="12.518000000000001"/>
    <m/>
    <n v="707.13"/>
    <n v="119.97"/>
    <m/>
    <n v="10353.6378"/>
    <n v="10353.6378"/>
    <n v="9125.9975400000003"/>
    <n v="0"/>
    <n v="762.28210255893248"/>
    <n v="0"/>
    <n v="0"/>
    <n v="0"/>
    <n v="1346.1758408206504"/>
    <n v="6376.2053913738118"/>
    <n v="1501.8325613354361"/>
    <n v="0"/>
    <n v="0"/>
    <n v="0"/>
    <n v="0"/>
    <n v="0"/>
    <n v="117.7972079270658"/>
    <m/>
    <n v="26.9299577676073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2.47507227350576"/>
    <n v="0"/>
    <n v="0"/>
    <n v="0"/>
    <n v="2988.09"/>
    <n v="8"/>
    <m/>
    <m/>
    <m/>
    <m/>
    <m/>
    <m/>
    <m/>
    <m/>
    <m/>
    <n v="1724.3076336089418"/>
    <m/>
    <m/>
    <m/>
    <m/>
    <m/>
    <m/>
    <m/>
    <m/>
    <m/>
    <m/>
    <m/>
    <m/>
    <n v="9127.4555999999993"/>
    <n v="-1226.2122000000018"/>
    <m/>
    <m/>
    <m/>
    <m/>
    <n v="-1227.6402600000006"/>
    <n v="0"/>
    <n v="31"/>
    <n v="-94.615097107542624"/>
    <n v="0"/>
    <n v="0"/>
    <n v="0"/>
    <n v="0"/>
    <n v="0"/>
    <n v="0"/>
    <n v="0"/>
    <n v="-7.2022829019374512"/>
    <n v="0"/>
    <n v="0"/>
    <n v="0"/>
    <n v="0"/>
    <n v="0"/>
    <n v="0"/>
    <n v="0"/>
    <n v="0"/>
    <n v="-75.147496369746818"/>
    <m/>
    <n v="0"/>
    <n v="0"/>
    <n v="0"/>
    <n v="0"/>
    <n v="-10.038478334078036"/>
    <n v="-2.226839501780546"/>
    <n v="0"/>
    <n v="0"/>
    <m/>
    <m/>
    <m/>
    <n v="6376.2053913738118"/>
    <n v="0"/>
    <n v="0"/>
    <n v="-1227.6402600000001"/>
    <n v="0"/>
    <n v="0"/>
    <n v="0"/>
    <n v="-1133.013235815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35"/>
    <s v="Regular"/>
    <s v="Convencional"/>
    <s v="B2"/>
    <s v="Rural"/>
    <s v="Não se aplica"/>
    <s v="Não se aplica"/>
    <s v="Não se aplica"/>
    <s v="Não se aplica"/>
    <s v="CATIVO"/>
    <x v="10"/>
    <n v="0"/>
    <n v="0"/>
    <n v="241.06"/>
    <n v="241.06"/>
    <n v="241.06"/>
    <n v="241.06"/>
    <m/>
    <n v="707.13"/>
    <n v="119.97"/>
    <m/>
    <n v="199380.726"/>
    <n v="199380.726"/>
    <n v="175739.9718"/>
    <n v="0"/>
    <n v="14679.319671102114"/>
    <n v="0"/>
    <n v="0"/>
    <n v="0"/>
    <n v="25923.402155953503"/>
    <n v="122787.03240490262"/>
    <n v="28920.894490774899"/>
    <n v="0"/>
    <n v="0"/>
    <n v="0"/>
    <n v="0"/>
    <n v="0"/>
    <n v="2268.4290575889504"/>
    <m/>
    <n v="518.5920769659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84.2179998603051"/>
    <n v="0"/>
    <n v="0"/>
    <n v="0"/>
    <n v="24873.279999999999"/>
    <n v="698"/>
    <m/>
    <m/>
    <m/>
    <m/>
    <m/>
    <n v="21087.92879999998"/>
    <m/>
    <m/>
    <m/>
    <n v="33205.112490635205"/>
    <m/>
    <m/>
    <m/>
    <m/>
    <m/>
    <m/>
    <m/>
    <m/>
    <m/>
    <m/>
    <m/>
    <m/>
    <n v="154652.04300000001"/>
    <n v="-20805.918600000034"/>
    <m/>
    <m/>
    <m/>
    <m/>
    <n v="-23640.754200000014"/>
    <n v="0"/>
    <n v="31"/>
    <n v="-1822.0095309749449"/>
    <n v="0"/>
    <n v="0"/>
    <n v="0"/>
    <n v="0"/>
    <n v="0"/>
    <n v="0"/>
    <n v="0"/>
    <n v="-138.69486470210904"/>
    <n v="0"/>
    <n v="0"/>
    <n v="0"/>
    <n v="0"/>
    <n v="0"/>
    <n v="0"/>
    <n v="0"/>
    <n v="0"/>
    <n v="-1447.1205843498301"/>
    <m/>
    <n v="0"/>
    <n v="0"/>
    <n v="0"/>
    <n v="0"/>
    <n v="-193.31167816047719"/>
    <n v="-42.882403762519459"/>
    <n v="0"/>
    <n v="0"/>
    <m/>
    <m/>
    <m/>
    <n v="122787.03240490262"/>
    <n v="0"/>
    <n v="0"/>
    <n v="-23640.754199999996"/>
    <n v="0"/>
    <n v="0"/>
    <n v="0"/>
    <n v="-21818.514988470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36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28.602"/>
    <n v="28.602"/>
    <n v="28.602"/>
    <n v="28.602"/>
    <m/>
    <n v="707.13"/>
    <n v="119.97"/>
    <m/>
    <n v="23656.714199999999"/>
    <n v="23656.714199999999"/>
    <n v="20851.716059999999"/>
    <n v="0"/>
    <n v="1741.7153456934484"/>
    <n v="0"/>
    <n v="0"/>
    <n v="0"/>
    <n v="3075.8365073615787"/>
    <n v="14568.799057682838"/>
    <n v="3431.4918452880765"/>
    <n v="0"/>
    <n v="0"/>
    <n v="0"/>
    <n v="0"/>
    <n v="0"/>
    <n v="269.15128144511391"/>
    <m/>
    <n v="61.5314468820183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8.32657111094517"/>
    <n v="0"/>
    <n v="0"/>
    <n v="0"/>
    <n v="5447.69"/>
    <n v="18"/>
    <m/>
    <m/>
    <m/>
    <m/>
    <m/>
    <n v="2502.1029599999979"/>
    <m/>
    <m/>
    <m/>
    <n v="3939.8184163990218"/>
    <m/>
    <m/>
    <m/>
    <m/>
    <m/>
    <m/>
    <m/>
    <m/>
    <m/>
    <m/>
    <m/>
    <m/>
    <n v="18348.330000000002"/>
    <n v="-2469.95171999999"/>
    <m/>
    <m/>
    <m/>
    <m/>
    <n v="-2804.9981400000015"/>
    <n v="0"/>
    <n v="31"/>
    <n v="-216.18317682296947"/>
    <n v="0"/>
    <n v="0"/>
    <n v="0"/>
    <n v="0"/>
    <n v="0"/>
    <n v="0"/>
    <n v="0"/>
    <n v="-16.456278603708142"/>
    <n v="0"/>
    <n v="0"/>
    <n v="0"/>
    <n v="0"/>
    <n v="0"/>
    <n v="0"/>
    <n v="0"/>
    <n v="0"/>
    <n v="-171.70224406195075"/>
    <m/>
    <n v="0"/>
    <n v="0"/>
    <n v="0"/>
    <n v="0"/>
    <n v="-22.936615858068393"/>
    <n v="-5.0880382992432658"/>
    <n v="0"/>
    <n v="0"/>
    <m/>
    <m/>
    <m/>
    <n v="14568.799057682838"/>
    <n v="0"/>
    <n v="0"/>
    <n v="-2804.9981399999997"/>
    <n v="0"/>
    <n v="0"/>
    <n v="0"/>
    <n v="-2588.7877113591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37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27.748000000000001"/>
    <n v="27.748000000000001"/>
    <n v="27.748000000000001"/>
    <n v="27.748000000000001"/>
    <m/>
    <n v="707.13"/>
    <n v="119.97"/>
    <m/>
    <n v="22950.370800000001"/>
    <n v="22950.370800000001"/>
    <n v="20229.12444"/>
    <n v="0"/>
    <n v="1689.7111185337321"/>
    <n v="0"/>
    <n v="0"/>
    <n v="0"/>
    <n v="2983.998021336588"/>
    <n v="14133.803099523928"/>
    <n v="3329.0341837302826"/>
    <n v="0"/>
    <n v="0"/>
    <n v="0"/>
    <n v="0"/>
    <n v="0"/>
    <n v="261.11494851895048"/>
    <m/>
    <n v="59.69423774848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3.14892997645296"/>
    <n v="0"/>
    <n v="0"/>
    <n v="0"/>
    <n v="3935.3"/>
    <n v="83"/>
    <m/>
    <m/>
    <m/>
    <m/>
    <m/>
    <m/>
    <m/>
    <m/>
    <m/>
    <n v="3822.1831137067356"/>
    <m/>
    <m/>
    <m/>
    <m/>
    <m/>
    <m/>
    <m/>
    <m/>
    <m/>
    <m/>
    <m/>
    <m/>
    <n v="20230.582499999997"/>
    <n v="-2719.818299999999"/>
    <m/>
    <m/>
    <m/>
    <m/>
    <n v="-2721.2463600000015"/>
    <n v="0"/>
    <n v="31"/>
    <n v="-209.72836831283894"/>
    <n v="0"/>
    <n v="0"/>
    <n v="0"/>
    <n v="0"/>
    <n v="0"/>
    <n v="0"/>
    <n v="0"/>
    <n v="-15.964926183332864"/>
    <n v="0"/>
    <n v="0"/>
    <n v="0"/>
    <n v="0"/>
    <n v="0"/>
    <n v="0"/>
    <n v="0"/>
    <n v="0"/>
    <n v="-166.57554955006663"/>
    <m/>
    <n v="0"/>
    <n v="0"/>
    <n v="0"/>
    <n v="0"/>
    <n v="-22.251773191723743"/>
    <n v="-4.9361193877142213"/>
    <n v="0"/>
    <n v="0"/>
    <m/>
    <m/>
    <m/>
    <n v="14133.803099523928"/>
    <n v="0"/>
    <n v="0"/>
    <n v="-2721.246360000001"/>
    <n v="0"/>
    <n v="0"/>
    <n v="0"/>
    <n v="-2511.49155355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38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84.697999999999993"/>
    <n v="84.697999999999993"/>
    <n v="84.697999999999993"/>
    <n v="84.697999999999993"/>
    <m/>
    <n v="388.92"/>
    <n v="65.989999999999995"/>
    <m/>
    <n v="38529.967179999992"/>
    <n v="38529.967179999992"/>
    <n v="33961.357059999995"/>
    <n v="0"/>
    <n v="2836.7209807792856"/>
    <n v="0"/>
    <n v="0"/>
    <n v="0"/>
    <n v="5009.5958420838015"/>
    <n v="23728.112664260949"/>
    <n v="5588.8494850610123"/>
    <n v="0"/>
    <n v="0"/>
    <n v="0"/>
    <n v="0"/>
    <n v="0"/>
    <n v="438.36502271558072"/>
    <m/>
    <n v="100.21588589634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7.90833354223957"/>
    <n v="0"/>
    <n v="0"/>
    <n v="0"/>
    <n v="6955.94"/>
    <n v="2"/>
    <m/>
    <m/>
    <m/>
    <m/>
    <m/>
    <m/>
    <m/>
    <m/>
    <m/>
    <n v="6416.7578186032515"/>
    <m/>
    <m/>
    <m/>
    <m/>
    <m/>
    <m/>
    <m/>
    <m/>
    <m/>
    <m/>
    <m/>
    <m/>
    <n v="33962.159000000007"/>
    <n v="-4567.8381799999916"/>
    <m/>
    <m/>
    <m/>
    <m/>
    <n v="-4568.6101199999994"/>
    <n v="0"/>
    <n v="31"/>
    <n v="-352.09619924494655"/>
    <n v="0"/>
    <n v="0"/>
    <n v="0"/>
    <n v="0"/>
    <n v="0"/>
    <n v="0"/>
    <n v="0"/>
    <n v="-26.802238894049879"/>
    <n v="0"/>
    <n v="0"/>
    <n v="0"/>
    <n v="0"/>
    <n v="0"/>
    <n v="0"/>
    <n v="0"/>
    <n v="0"/>
    <n v="-279.65037994397471"/>
    <m/>
    <n v="0"/>
    <n v="0"/>
    <n v="0"/>
    <n v="0"/>
    <n v="-37.35672398680714"/>
    <n v="-8.2868564201149866"/>
    <n v="0"/>
    <n v="0"/>
    <m/>
    <m/>
    <m/>
    <n v="23728.112664260949"/>
    <n v="0"/>
    <n v="0"/>
    <n v="-4568.6101199999976"/>
    <n v="0"/>
    <n v="0"/>
    <n v="0"/>
    <n v="-4216.342488888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39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5.5609999999999999"/>
    <n v="5.2273399999999999"/>
    <n v="5.5609999999999999"/>
    <n v="5.2273399999999999"/>
    <m/>
    <n v="707.13"/>
    <n v="119.97"/>
    <m/>
    <n v="4599.5030999999999"/>
    <n v="4599.5030999999999"/>
    <n v="4054.1358299999997"/>
    <n v="0"/>
    <n v="338.63642533393698"/>
    <n v="0"/>
    <n v="0"/>
    <n v="0"/>
    <n v="598.02555127046139"/>
    <n v="2832.5673575195528"/>
    <n v="667.17453855139479"/>
    <n v="0"/>
    <n v="0"/>
    <n v="0"/>
    <n v="0"/>
    <n v="0"/>
    <n v="52.330266279151054"/>
    <m/>
    <n v="11.963372355461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8323915092639"/>
    <n v="0"/>
    <n v="0"/>
    <n v="0"/>
    <n v="780.54"/>
    <n v="7"/>
    <m/>
    <m/>
    <m/>
    <m/>
    <n v="243.24814980000005"/>
    <m/>
    <m/>
    <m/>
    <m/>
    <n v="766.00693006065865"/>
    <m/>
    <m/>
    <m/>
    <m/>
    <m/>
    <m/>
    <m/>
    <m/>
    <m/>
    <m/>
    <m/>
    <m/>
    <n v="3812.8269"/>
    <n v="-510.73601400000007"/>
    <m/>
    <m/>
    <m/>
    <m/>
    <n v="-545.3672700000003"/>
    <n v="0"/>
    <n v="31"/>
    <n v="-42.031838553686384"/>
    <n v="0"/>
    <n v="0"/>
    <n v="0"/>
    <n v="0"/>
    <n v="0"/>
    <n v="0"/>
    <n v="0"/>
    <n v="-3.1995442736598534"/>
    <n v="0"/>
    <n v="0"/>
    <n v="0"/>
    <n v="0"/>
    <n v="0"/>
    <n v="0"/>
    <n v="0"/>
    <n v="0"/>
    <n v="-33.383545878907341"/>
    <m/>
    <n v="0"/>
    <n v="0"/>
    <n v="0"/>
    <n v="0"/>
    <n v="-4.459496566209296"/>
    <n v="-0.9892518349098598"/>
    <n v="0"/>
    <n v="0"/>
    <m/>
    <m/>
    <m/>
    <n v="2832.5673575195528"/>
    <n v="0"/>
    <n v="0"/>
    <n v="-545.36727000000019"/>
    <n v="0"/>
    <n v="0"/>
    <n v="0"/>
    <n v="-503.3301329581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40"/>
    <s v="Regular"/>
    <s v="Verde"/>
    <s v="A4"/>
    <s v="Serviço público"/>
    <s v="Água, esgoto e saneamento"/>
    <s v="Não se aplica"/>
    <s v="Não se aplica"/>
    <s v="Ponta"/>
    <s v="CATIVO"/>
    <x v="10"/>
    <n v="0"/>
    <n v="0"/>
    <n v="4.5410000000000004"/>
    <n v="4.2685399999999998"/>
    <n v="4.5410000000000004"/>
    <n v="4.2685399999999998"/>
    <m/>
    <n v="3312.96"/>
    <n v="119.97"/>
    <m/>
    <n v="15588.935130000002"/>
    <n v="15588.935130000002"/>
    <n v="13531.317210000001"/>
    <n v="0"/>
    <n v="240.57557390289952"/>
    <n v="0"/>
    <n v="0"/>
    <n v="0"/>
    <n v="3395.0287193915015"/>
    <n v="11321.579472105361"/>
    <n v="544.80121912639527"/>
    <n v="0"/>
    <n v="0"/>
    <n v="0"/>
    <n v="0"/>
    <n v="0"/>
    <n v="42.73183585211742"/>
    <m/>
    <n v="3.817763978182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43237106570399"/>
    <n v="0"/>
    <n v="0"/>
    <n v="0"/>
    <n v="0"/>
    <n v="0"/>
    <m/>
    <m/>
    <m/>
    <m/>
    <n v="811.87903260000178"/>
    <m/>
    <m/>
    <m/>
    <m/>
    <n v="585.2335901920992"/>
    <m/>
    <m/>
    <m/>
    <m/>
    <m/>
    <m/>
    <m/>
    <m/>
    <m/>
    <m/>
    <m/>
    <m/>
    <n v="12723.788699999999"/>
    <n v="-1929.8403222000015"/>
    <m/>
    <m/>
    <m/>
    <m/>
    <n v="-2057.6179199999997"/>
    <n v="0"/>
    <n v="31"/>
    <n v="-45.837725061584933"/>
    <n v="0"/>
    <n v="0"/>
    <n v="0"/>
    <n v="0"/>
    <n v="0"/>
    <n v="0"/>
    <n v="0"/>
    <n v="-18.16401435519083"/>
    <n v="0"/>
    <n v="0"/>
    <n v="0"/>
    <n v="0"/>
    <n v="0"/>
    <n v="0"/>
    <n v="0"/>
    <n v="0"/>
    <n v="-23.716485020216112"/>
    <m/>
    <n v="0"/>
    <n v="0"/>
    <n v="0"/>
    <n v="0"/>
    <n v="-3.6415345993807691"/>
    <n v="-0.31569108679844593"/>
    <n v="0"/>
    <n v="0"/>
    <m/>
    <m/>
    <m/>
    <n v="11321.579472105361"/>
    <n v="0"/>
    <n v="0"/>
    <n v="-2057.6179200000006"/>
    <n v="0"/>
    <n v="0"/>
    <n v="0"/>
    <n v="-2011.7763787198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41"/>
    <s v="Regular"/>
    <s v="Verde"/>
    <s v="A4"/>
    <s v="Serviço público"/>
    <s v="Água, esgoto e saneamento"/>
    <s v="Não se aplica"/>
    <s v="Não se aplica"/>
    <s v="Fora ponta"/>
    <s v="CATIVO"/>
    <x v="10"/>
    <n v="0"/>
    <n v="0"/>
    <n v="39.697000000000003"/>
    <n v="37.315179999999998"/>
    <n v="39.697000000000003"/>
    <n v="37.315179999999998"/>
    <m/>
    <n v="72.13"/>
    <n v="119.97"/>
    <m/>
    <n v="7625.7937000000002"/>
    <n v="7625.7937000000002"/>
    <n v="7384.0389700000005"/>
    <n v="0"/>
    <n v="2103.0893101130591"/>
    <n v="0"/>
    <n v="0"/>
    <n v="0"/>
    <n v="0"/>
    <n v="0"/>
    <n v="4762.6016286413806"/>
    <n v="0"/>
    <n v="0"/>
    <n v="0"/>
    <n v="0"/>
    <n v="0"/>
    <n v="373.5577379038769"/>
    <m/>
    <n v="33.374537908373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3.45603043277941"/>
    <n v="0"/>
    <n v="0"/>
    <n v="0"/>
    <n v="0"/>
    <n v="0"/>
    <m/>
    <m/>
    <m/>
    <m/>
    <n v="443.04233820000093"/>
    <m/>
    <m/>
    <m/>
    <m/>
    <n v="5116.0576590741603"/>
    <m/>
    <m/>
    <m/>
    <m/>
    <m/>
    <m/>
    <m/>
    <m/>
    <m/>
    <m/>
    <m/>
    <m/>
    <n v="6941.8932000000004"/>
    <n v="-226.38287800000035"/>
    <m/>
    <m/>
    <m/>
    <m/>
    <n v="-241.7547299999996"/>
    <n v="0"/>
    <n v="31"/>
    <n v="-241.92100724769261"/>
    <n v="0"/>
    <n v="0"/>
    <n v="0"/>
    <n v="0"/>
    <n v="0"/>
    <n v="0"/>
    <n v="0"/>
    <n v="0"/>
    <n v="0"/>
    <n v="0"/>
    <n v="0"/>
    <n v="0"/>
    <n v="0"/>
    <n v="0"/>
    <n v="0"/>
    <n v="0"/>
    <n v="-207.32730804834137"/>
    <m/>
    <n v="0"/>
    <n v="0"/>
    <n v="0"/>
    <n v="0"/>
    <n v="-31.833957056070915"/>
    <n v="-2.7597421432807572"/>
    <n v="0"/>
    <n v="0"/>
    <m/>
    <m/>
    <m/>
    <n v="0"/>
    <n v="0"/>
    <n v="0"/>
    <n v="-241.7547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42"/>
    <s v="Regular"/>
    <s v="Verde"/>
    <s v="A4"/>
    <s v="Serviço público"/>
    <s v="Água, esgoto e saneamento"/>
    <s v="Não se aplica"/>
    <s v="Não se aplica"/>
    <s v="Não se aplica"/>
    <s v="CATIVO"/>
    <x v="10"/>
    <n v="100"/>
    <n v="94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819.1000000000004"/>
    <n v="1"/>
    <m/>
    <m/>
    <m/>
    <m/>
    <n v="246.89999999999998"/>
    <m/>
    <m/>
    <m/>
    <m/>
    <n v="0"/>
    <m/>
    <m/>
    <m/>
    <m/>
    <m/>
    <m/>
    <m/>
    <m/>
    <m/>
    <m/>
    <m/>
    <m/>
    <n v="3868.1"/>
    <n v="-483.19000000000096"/>
    <m/>
    <m/>
    <m/>
    <m/>
    <n v="-514"/>
    <n v="0"/>
    <n v="31"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343"/>
    <s v="PROJETADO"/>
    <s v="Convencional"/>
    <s v="B1"/>
    <s v="Residencial"/>
    <s v="Residencial"/>
    <s v="Não se aplica"/>
    <s v="Não se aplica"/>
    <s v="Não se aplica"/>
    <s v="CATIVO"/>
    <x v="11"/>
    <n v="0"/>
    <n v="0"/>
    <n v="581.66600000000005"/>
    <n v="581.66600000000005"/>
    <n v="581.66600000000005"/>
    <n v="581.66600000000005"/>
    <m/>
    <n v="707.13"/>
    <n v="119.97"/>
    <m/>
    <n v="481095.94860000006"/>
    <n v="481095.94860000006"/>
    <n v="424051.96398"/>
    <n v="0"/>
    <n v="35420.481024687972"/>
    <n v="0"/>
    <n v="0"/>
    <n v="0"/>
    <n v="62551.902590412559"/>
    <n v="296279.10889749479"/>
    <n v="69784.70511437433"/>
    <n v="0"/>
    <n v="0"/>
    <n v="0"/>
    <n v="0"/>
    <n v="0"/>
    <n v="5473.608463500932"/>
    <m/>
    <n v="1251.3373394194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37.608674631811"/>
    <n v="0"/>
    <n v="0"/>
    <n v="0"/>
    <n v="69710.77"/>
    <n v="3095"/>
    <m/>
    <m/>
    <m/>
    <m/>
    <m/>
    <m/>
    <m/>
    <m/>
    <m/>
    <n v="80122.313789006148"/>
    <m/>
    <m/>
    <m/>
    <m/>
    <m/>
    <m/>
    <m/>
    <m/>
    <m/>
    <m/>
    <m/>
    <m/>
    <n v="424054.88009999995"/>
    <n v="-57041.098500000138"/>
    <m/>
    <m/>
    <m/>
    <m/>
    <n v="-57043.984620000032"/>
    <n v="0"/>
    <n v="31"/>
    <n v="-4396.4199611883669"/>
    <n v="0"/>
    <n v="0"/>
    <n v="0"/>
    <n v="0"/>
    <n v="0"/>
    <n v="0"/>
    <n v="0"/>
    <n v="-334.66393085463642"/>
    <n v="0"/>
    <n v="0"/>
    <n v="0"/>
    <n v="0"/>
    <n v="0"/>
    <n v="0"/>
    <n v="0"/>
    <n v="0"/>
    <n v="-3491.83125286828"/>
    <m/>
    <n v="0"/>
    <n v="0"/>
    <n v="0"/>
    <n v="0"/>
    <n v="-466.45163274243896"/>
    <n v="-103.47314472301355"/>
    <n v="0"/>
    <n v="0"/>
    <m/>
    <m/>
    <m/>
    <n v="296279.10889749479"/>
    <n v="0"/>
    <n v="0"/>
    <n v="-57043.984620000061"/>
    <n v="0"/>
    <n v="0"/>
    <n v="0"/>
    <n v="-52647.010450858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44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3.3650000000000002"/>
    <n v="-3.3650000000000002"/>
    <n v="-3.3650000000000002"/>
    <n v="-3.3650000000000002"/>
    <m/>
    <n v="707.13"/>
    <n v="119.97"/>
    <m/>
    <n v="-2783.1915000000004"/>
    <n v="-2783.1915000000004"/>
    <n v="-2453.18595"/>
    <n v="0"/>
    <n v="-204.91126978038088"/>
    <n v="0"/>
    <n v="0"/>
    <n v="0"/>
    <n v="-361.86944434905644"/>
    <n v="-1714.0063222537847"/>
    <n v="-403.7119802599251"/>
    <n v="0"/>
    <n v="0"/>
    <n v="0"/>
    <n v="0"/>
    <n v="0"/>
    <n v="-31.665410183302161"/>
    <m/>
    <n v="-7.23912029781105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9.804171449140988"/>
    <n v="0"/>
    <n v="0"/>
    <n v="0"/>
    <n v="-644.97"/>
    <n v="0"/>
    <m/>
    <m/>
    <m/>
    <m/>
    <m/>
    <m/>
    <m/>
    <m/>
    <m/>
    <n v="-463.51615170906609"/>
    <m/>
    <m/>
    <m/>
    <m/>
    <m/>
    <m/>
    <m/>
    <m/>
    <m/>
    <m/>
    <m/>
    <m/>
    <n v="-2456.8311000000003"/>
    <n v="326.33039999999937"/>
    <m/>
    <m/>
    <m/>
    <m/>
    <n v="330.0055500000002"/>
    <n v="0"/>
    <n v="31"/>
    <n v="25.433759527630855"/>
    <n v="0"/>
    <n v="0"/>
    <n v="0"/>
    <n v="0"/>
    <n v="0"/>
    <n v="0"/>
    <n v="0"/>
    <n v="1.9360666212669457"/>
    <n v="0"/>
    <n v="0"/>
    <n v="0"/>
    <n v="0"/>
    <n v="0"/>
    <n v="0"/>
    <n v="0"/>
    <n v="0"/>
    <n v="20.200617134062782"/>
    <m/>
    <n v="0"/>
    <n v="0"/>
    <n v="0"/>
    <n v="0"/>
    <n v="2.6984725670372782"/>
    <n v="0.59860320526374355"/>
    <n v="0"/>
    <n v="0"/>
    <m/>
    <m/>
    <m/>
    <n v="-1714.0063222537847"/>
    <n v="0"/>
    <n v="0"/>
    <n v="330.00555000000031"/>
    <n v="0"/>
    <n v="0"/>
    <n v="0"/>
    <n v="304.56858432010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45"/>
    <s v="PROJETADO"/>
    <s v="Convencional"/>
    <s v="B1"/>
    <s v="Residencial"/>
    <s v="Residencial"/>
    <s v="Não se aplica"/>
    <s v="Não se aplica"/>
    <s v="Não se aplica"/>
    <s v="CATIVO"/>
    <x v="11"/>
    <n v="0"/>
    <n v="0"/>
    <n v="10.53"/>
    <n v="10.53"/>
    <n v="10.53"/>
    <n v="10.53"/>
    <m/>
    <n v="707.13"/>
    <n v="119.97"/>
    <m/>
    <n v="8709.3629999999994"/>
    <n v="8709.3629999999994"/>
    <n v="7676.6858999999986"/>
    <n v="0"/>
    <n v="641.22308195762571"/>
    <n v="0"/>
    <n v="0"/>
    <n v="0"/>
    <n v="1132.3878897460813"/>
    <n v="5363.5918494301195"/>
    <n v="1263.3245622992604"/>
    <n v="0"/>
    <n v="0"/>
    <n v="0"/>
    <n v="0"/>
    <n v="0"/>
    <n v="99.089678820259053"/>
    <m/>
    <n v="22.6531758502081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.14351422272051"/>
    <n v="0"/>
    <n v="0"/>
    <n v="0"/>
    <n v="2572.87"/>
    <n v="57"/>
    <m/>
    <m/>
    <m/>
    <m/>
    <m/>
    <m/>
    <m/>
    <m/>
    <m/>
    <n v="1450.4680765219809"/>
    <m/>
    <m/>
    <m/>
    <m/>
    <m/>
    <m/>
    <m/>
    <m/>
    <m/>
    <m/>
    <m/>
    <m/>
    <n v="7676.6858999999986"/>
    <n v="-1032.7071000000014"/>
    <m/>
    <m/>
    <m/>
    <m/>
    <n v="-1032.6771000000006"/>
    <n v="0"/>
    <n v="31"/>
    <n v="-79.589149428217297"/>
    <n v="0"/>
    <n v="0"/>
    <n v="0"/>
    <n v="0"/>
    <n v="0"/>
    <n v="0"/>
    <n v="0"/>
    <n v="-6.0584789069660019"/>
    <n v="0"/>
    <n v="0"/>
    <n v="0"/>
    <n v="0"/>
    <n v="0"/>
    <n v="0"/>
    <n v="0"/>
    <n v="0"/>
    <n v="-63.213223899459535"/>
    <m/>
    <n v="0"/>
    <n v="0"/>
    <n v="0"/>
    <n v="0"/>
    <n v="-8.4442544222592915"/>
    <n v="-1.8731921995326068"/>
    <n v="0"/>
    <n v="0"/>
    <m/>
    <m/>
    <m/>
    <n v="5363.5918494301195"/>
    <n v="0"/>
    <n v="0"/>
    <n v="-1032.6771000000008"/>
    <n v="0"/>
    <n v="0"/>
    <n v="0"/>
    <n v="-953.07791764953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46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5.52"/>
    <n v="5.52"/>
    <n v="5.52"/>
    <n v="5.52"/>
    <m/>
    <n v="636.83000000000004"/>
    <n v="119.97"/>
    <m/>
    <n v="4177.5360000000001"/>
    <n v="4177.5360000000001"/>
    <n v="3673.7255999999993"/>
    <n v="0"/>
    <n v="0"/>
    <n v="0"/>
    <n v="0"/>
    <n v="0"/>
    <n v="593.61644362757545"/>
    <n v="2811.683476624336"/>
    <n v="662.25561100588004"/>
    <n v="0"/>
    <n v="0"/>
    <n v="0"/>
    <n v="0"/>
    <n v="0"/>
    <n v="0"/>
    <m/>
    <n v="11.875169106661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103722555500212"/>
    <n v="0"/>
    <n v="0"/>
    <n v="0"/>
    <n v="174.8"/>
    <n v="12"/>
    <m/>
    <m/>
    <m/>
    <m/>
    <m/>
    <m/>
    <m/>
    <n v="2387.8967999999995"/>
    <m/>
    <n v="760.35933356138025"/>
    <m/>
    <m/>
    <m/>
    <m/>
    <m/>
    <m/>
    <m/>
    <m/>
    <m/>
    <m/>
    <m/>
    <m/>
    <n v="1285.8287999999998"/>
    <n v="-176.33879999999999"/>
    <m/>
    <m/>
    <m/>
    <m/>
    <n v="-503.81040000000047"/>
    <n v="0"/>
    <n v="31"/>
    <n v="-4.1579130586774227"/>
    <n v="0"/>
    <n v="0"/>
    <n v="0"/>
    <n v="0"/>
    <n v="0"/>
    <n v="0"/>
    <n v="0"/>
    <n v="-3.1759547546489557"/>
    <n v="0"/>
    <n v="0"/>
    <n v="0"/>
    <n v="0"/>
    <n v="0"/>
    <n v="0"/>
    <n v="0"/>
    <n v="0"/>
    <n v="0"/>
    <m/>
    <n v="0"/>
    <n v="0"/>
    <n v="0"/>
    <n v="0"/>
    <n v="0"/>
    <n v="-0.98195830402848827"/>
    <n v="0"/>
    <n v="0"/>
    <m/>
    <m/>
    <m/>
    <n v="2811.683476624336"/>
    <n v="0"/>
    <n v="0"/>
    <n v="-503.8104000000003"/>
    <n v="0"/>
    <n v="0"/>
    <n v="0"/>
    <n v="-499.61919329776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47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1.169"/>
    <n v="11.169"/>
    <n v="11.169"/>
    <n v="11.169"/>
    <m/>
    <n v="636.83000000000004"/>
    <n v="119.97"/>
    <m/>
    <n v="8452.6992000000009"/>
    <n v="8452.6992000000009"/>
    <n v="7433.3045700000002"/>
    <n v="0"/>
    <n v="0"/>
    <n v="0"/>
    <n v="0"/>
    <n v="0"/>
    <n v="1201.1054454486214"/>
    <n v="5689.0747736263065"/>
    <n v="1339.9878477037455"/>
    <n v="0"/>
    <n v="0"/>
    <n v="0"/>
    <n v="0"/>
    <n v="0"/>
    <n v="0"/>
    <m/>
    <n v="24.027855752229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.50008645333008"/>
    <n v="0"/>
    <n v="0"/>
    <n v="0"/>
    <n v="607.91999999999996"/>
    <n v="32"/>
    <m/>
    <m/>
    <m/>
    <m/>
    <m/>
    <m/>
    <m/>
    <n v="2973.2994899999999"/>
    <m/>
    <n v="1538.4879341570756"/>
    <m/>
    <m/>
    <m/>
    <m/>
    <m/>
    <m/>
    <m/>
    <m/>
    <m/>
    <m/>
    <m/>
    <m/>
    <n v="4460.4043999999994"/>
    <n v="-611.24512000000232"/>
    <m/>
    <m/>
    <m/>
    <m/>
    <n v="-1019.3946300000011"/>
    <n v="0"/>
    <n v="31"/>
    <n v="-8.41299473774734"/>
    <n v="0"/>
    <n v="0"/>
    <n v="0"/>
    <n v="0"/>
    <n v="0"/>
    <n v="0"/>
    <n v="0"/>
    <n v="-6.4261301910639759"/>
    <n v="0"/>
    <n v="0"/>
    <n v="0"/>
    <n v="0"/>
    <n v="0"/>
    <n v="0"/>
    <n v="0"/>
    <n v="0"/>
    <n v="0"/>
    <m/>
    <n v="0"/>
    <n v="0"/>
    <n v="0"/>
    <n v="0"/>
    <n v="0"/>
    <n v="-1.98686454668373"/>
    <n v="0"/>
    <n v="0"/>
    <m/>
    <m/>
    <m/>
    <n v="5689.0747736263065"/>
    <n v="0"/>
    <n v="0"/>
    <n v="-1019.3946300000007"/>
    <n v="0"/>
    <n v="0"/>
    <n v="0"/>
    <n v="-1010.9142699171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48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10.829000000000001"/>
    <n v="10.829000000000001"/>
    <n v="10.829000000000001"/>
    <n v="10.829000000000001"/>
    <m/>
    <n v="636.83000000000004"/>
    <n v="119.97"/>
    <m/>
    <n v="8195.387200000001"/>
    <n v="8195.387200000001"/>
    <n v="7207.0243700000001"/>
    <n v="0"/>
    <n v="0"/>
    <n v="0"/>
    <n v="0"/>
    <n v="0"/>
    <n v="1164.5421137759085"/>
    <n v="5515.8913710806046"/>
    <n v="1299.1967412287456"/>
    <n v="0"/>
    <n v="0"/>
    <n v="0"/>
    <n v="0"/>
    <n v="0"/>
    <n v="0"/>
    <m/>
    <n v="23.2964141768189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.45746586114348"/>
    <n v="0"/>
    <n v="0"/>
    <n v="0"/>
    <n v="1088.51"/>
    <n v="93"/>
    <m/>
    <m/>
    <m/>
    <m/>
    <m/>
    <m/>
    <m/>
    <n v="720.56165999999951"/>
    <m/>
    <n v="1491.654207089889"/>
    <m/>
    <m/>
    <m/>
    <m/>
    <m/>
    <m/>
    <m/>
    <m/>
    <m/>
    <m/>
    <m/>
    <m/>
    <n v="6487.0617000000002"/>
    <n v="-888.81678000000102"/>
    <m/>
    <m/>
    <m/>
    <m/>
    <n v="-988.36283000000105"/>
    <n v="0"/>
    <n v="31"/>
    <n v="-8.1568913971768779"/>
    <n v="0"/>
    <n v="0"/>
    <n v="0"/>
    <n v="0"/>
    <n v="0"/>
    <n v="0"/>
    <n v="0"/>
    <n v="-6.2305097895095969"/>
    <n v="0"/>
    <n v="0"/>
    <n v="0"/>
    <n v="0"/>
    <n v="0"/>
    <n v="0"/>
    <n v="0"/>
    <n v="0"/>
    <n v="0"/>
    <m/>
    <n v="0"/>
    <n v="0"/>
    <n v="0"/>
    <n v="0"/>
    <n v="0"/>
    <n v="-1.92638160766748"/>
    <n v="0"/>
    <n v="0"/>
    <m/>
    <m/>
    <m/>
    <n v="5515.8913710806046"/>
    <n v="0"/>
    <n v="0"/>
    <n v="-988.36283000000094"/>
    <n v="0"/>
    <n v="0"/>
    <n v="0"/>
    <n v="-980.14062395316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49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3.0920000000000001"/>
    <n v="3.0920000000000001"/>
    <n v="3.0920000000000001"/>
    <n v="3.0920000000000001"/>
    <m/>
    <n v="636.83000000000004"/>
    <n v="119.97"/>
    <m/>
    <n v="2340.0256000000004"/>
    <n v="2340.0256000000004"/>
    <n v="2057.8187600000001"/>
    <n v="0"/>
    <n v="0"/>
    <n v="0"/>
    <n v="0"/>
    <n v="0"/>
    <n v="332.51123980008396"/>
    <n v="1574.9502372685592"/>
    <n v="370.95912123735167"/>
    <n v="0"/>
    <n v="0"/>
    <n v="0"/>
    <n v="0"/>
    <n v="0"/>
    <n v="0"/>
    <m/>
    <n v="6.6518157387315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952302561885269"/>
    <n v="0"/>
    <n v="0"/>
    <n v="0"/>
    <n v="421.43"/>
    <n v="47"/>
    <m/>
    <m/>
    <m/>
    <m/>
    <m/>
    <m/>
    <m/>
    <m/>
    <m/>
    <n v="425.91142379923696"/>
    <m/>
    <m/>
    <m/>
    <m/>
    <m/>
    <m/>
    <m/>
    <m/>
    <m/>
    <m/>
    <m/>
    <m/>
    <n v="2056.4876999999997"/>
    <n v="-283.56790000000092"/>
    <m/>
    <m/>
    <m/>
    <m/>
    <n v="-282.20684000000028"/>
    <n v="0"/>
    <n v="31"/>
    <n v="-2.3290339089546706"/>
    <n v="0"/>
    <n v="0"/>
    <n v="0"/>
    <n v="0"/>
    <n v="0"/>
    <n v="0"/>
    <n v="0"/>
    <n v="-1.7789949459011609"/>
    <n v="0"/>
    <n v="0"/>
    <n v="0"/>
    <n v="0"/>
    <n v="0"/>
    <n v="0"/>
    <n v="0"/>
    <n v="0"/>
    <n v="0"/>
    <m/>
    <n v="0"/>
    <n v="0"/>
    <n v="0"/>
    <n v="0"/>
    <n v="0"/>
    <n v="-0.55003896305363842"/>
    <n v="0"/>
    <n v="0"/>
    <m/>
    <m/>
    <m/>
    <n v="1574.9502372685592"/>
    <n v="0"/>
    <n v="0"/>
    <n v="-282.20684000000028"/>
    <n v="0"/>
    <n v="0"/>
    <n v="0"/>
    <n v="-279.85915682548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50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120.703"/>
    <n v="120.703"/>
    <n v="120.703"/>
    <n v="120.703"/>
    <m/>
    <n v="707.13"/>
    <n v="119.97"/>
    <m/>
    <n v="99833.451300000001"/>
    <n v="99833.451300000001"/>
    <n v="87996.108089999994"/>
    <n v="0"/>
    <n v="7350.1946497180725"/>
    <n v="0"/>
    <n v="0"/>
    <n v="0"/>
    <n v="12980.305361445515"/>
    <n v="61481.635992570154"/>
    <n v="14481.202720152671"/>
    <n v="0"/>
    <n v="0"/>
    <n v="0"/>
    <n v="0"/>
    <n v="0"/>
    <n v="1135.8424978767075"/>
    <m/>
    <n v="259.66821316692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5.1836274667653"/>
    <n v="0"/>
    <n v="0"/>
    <n v="0"/>
    <n v="18023.29"/>
    <n v="67"/>
    <m/>
    <m/>
    <m/>
    <m/>
    <m/>
    <m/>
    <m/>
    <m/>
    <m/>
    <n v="16626.386347619435"/>
    <m/>
    <m/>
    <m/>
    <m/>
    <m/>
    <m/>
    <m/>
    <m/>
    <m/>
    <m/>
    <m/>
    <m/>
    <n v="87993.921000000002"/>
    <n v="-11839.560299999983"/>
    <m/>
    <m/>
    <m/>
    <m/>
    <n v="-11837.343210000006"/>
    <n v="0"/>
    <n v="31"/>
    <n v="-912.31235550181736"/>
    <n v="0"/>
    <n v="0"/>
    <n v="0"/>
    <n v="0"/>
    <n v="0"/>
    <n v="0"/>
    <n v="0"/>
    <n v="-69.446968614200159"/>
    <n v="0"/>
    <n v="0"/>
    <n v="0"/>
    <n v="0"/>
    <n v="0"/>
    <n v="0"/>
    <n v="0"/>
    <n v="0"/>
    <n v="-724.59883801865726"/>
    <m/>
    <n v="0"/>
    <n v="0"/>
    <n v="0"/>
    <n v="0"/>
    <n v="-96.794571845200835"/>
    <n v="-21.471977023759194"/>
    <n v="0"/>
    <n v="0"/>
    <m/>
    <m/>
    <m/>
    <n v="61481.635992570154"/>
    <n v="0"/>
    <n v="0"/>
    <n v="-11837.343210000006"/>
    <n v="0"/>
    <n v="0"/>
    <n v="0"/>
    <n v="-10924.915849387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51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-0.33900000000000002"/>
    <n v="-0.33900000000000002"/>
    <n v="-0.33900000000000002"/>
    <n v="-0.33900000000000002"/>
    <m/>
    <n v="707.13"/>
    <n v="119.97"/>
    <m/>
    <n v="-280.38690000000003"/>
    <n v="-280.38690000000003"/>
    <n v="-247.14116999999999"/>
    <n v="0"/>
    <n v="-20.643364176983393"/>
    <n v="0"/>
    <n v="0"/>
    <n v="0"/>
    <n v="-36.455792461910889"/>
    <n v="-172.67403959703805"/>
    <n v="-40.671132632426335"/>
    <n v="0"/>
    <n v="0"/>
    <n v="0"/>
    <n v="0"/>
    <n v="0"/>
    <n v="-3.1900665831023574"/>
    <m/>
    <n v="-0.729290276659122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0248481786801769"/>
    <n v="0"/>
    <n v="0"/>
    <n v="0"/>
    <n v="-82.38"/>
    <n v="0"/>
    <m/>
    <m/>
    <m/>
    <m/>
    <m/>
    <m/>
    <m/>
    <m/>
    <m/>
    <n v="-46.695980811106509"/>
    <m/>
    <m/>
    <m/>
    <m/>
    <m/>
    <m/>
    <m/>
    <m/>
    <m/>
    <m/>
    <m/>
    <m/>
    <n v="-247.87020000000001"/>
    <n v="32.486700000000042"/>
    <m/>
    <m/>
    <m/>
    <m/>
    <n v="33.245730000000016"/>
    <n v="0"/>
    <n v="31"/>
    <n v="2.5622717622189697"/>
    <n v="0"/>
    <n v="0"/>
    <n v="0"/>
    <n v="0"/>
    <n v="0"/>
    <n v="0"/>
    <n v="0"/>
    <n v="0.19504504743224516"/>
    <n v="0"/>
    <n v="0"/>
    <n v="0"/>
    <n v="0"/>
    <n v="0"/>
    <n v="0"/>
    <n v="0"/>
    <n v="0"/>
    <n v="2.0350696013216307"/>
    <m/>
    <n v="0"/>
    <n v="0"/>
    <n v="0"/>
    <n v="0"/>
    <n v="0.27185206544595442"/>
    <n v="6.0305048019140939E-2"/>
    <n v="0"/>
    <n v="0"/>
    <m/>
    <m/>
    <m/>
    <n v="-172.67403959703805"/>
    <n v="0"/>
    <n v="0"/>
    <n v="33.245730000000009"/>
    <n v="0"/>
    <n v="0"/>
    <n v="0"/>
    <n v="30.683135240569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52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2.363"/>
    <n v="2.363"/>
    <n v="2.363"/>
    <n v="2.363"/>
    <m/>
    <n v="707.13"/>
    <n v="119.97"/>
    <m/>
    <n v="1954.4373000000001"/>
    <n v="1954.4373000000001"/>
    <n v="1722.6978899999999"/>
    <n v="0"/>
    <n v="143.89460044310252"/>
    <n v="0"/>
    <n v="0"/>
    <n v="0"/>
    <n v="254.11515512535522"/>
    <n v="1203.6246476926278"/>
    <n v="283.49819000124904"/>
    <n v="0"/>
    <n v="0"/>
    <n v="0"/>
    <n v="0"/>
    <n v="0"/>
    <n v="22.236363822627933"/>
    <m/>
    <n v="5.08351894910178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996213115696925"/>
    <n v="0"/>
    <n v="0"/>
    <n v="0"/>
    <n v="696.41"/>
    <n v="2"/>
    <m/>
    <m/>
    <m/>
    <m/>
    <m/>
    <m/>
    <m/>
    <m/>
    <m/>
    <n v="325.49440311694599"/>
    <m/>
    <m/>
    <m/>
    <m/>
    <m/>
    <m/>
    <m/>
    <m/>
    <m/>
    <m/>
    <m/>
    <m/>
    <n v="1720.5107999999996"/>
    <n v="-233.95650000000046"/>
    <m/>
    <m/>
    <m/>
    <m/>
    <n v="-231.73941000000011"/>
    <n v="0"/>
    <n v="31"/>
    <n v="-17.860319097709407"/>
    <n v="0"/>
    <n v="0"/>
    <n v="0"/>
    <n v="0"/>
    <n v="0"/>
    <n v="0"/>
    <n v="0"/>
    <n v="-1.3595617908034967"/>
    <n v="0"/>
    <n v="0"/>
    <n v="0"/>
    <n v="0"/>
    <n v="0"/>
    <n v="0"/>
    <n v="0"/>
    <n v="0"/>
    <n v="-14.185455657590012"/>
    <m/>
    <n v="0"/>
    <n v="0"/>
    <n v="0"/>
    <n v="0"/>
    <n v="-1.8949452231527708"/>
    <n v="-0.42035642616292002"/>
    <n v="0"/>
    <n v="0"/>
    <m/>
    <m/>
    <m/>
    <n v="1203.6246476926278"/>
    <n v="0"/>
    <n v="0"/>
    <n v="-231.73941000000013"/>
    <n v="0"/>
    <n v="0"/>
    <n v="0"/>
    <n v="-213.87683944974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53"/>
    <s v="PROJETADO"/>
    <s v="Verde"/>
    <s v="A4"/>
    <s v="Industrial"/>
    <s v="Não se aplica"/>
    <s v="Não se aplica"/>
    <s v="Não se aplica"/>
    <s v="Ponta"/>
    <s v="CATIVO"/>
    <x v="11"/>
    <n v="0"/>
    <n v="0"/>
    <n v="99.21"/>
    <n v="99.21"/>
    <n v="99.21"/>
    <n v="99.21"/>
    <m/>
    <n v="3312.96"/>
    <n v="119.97"/>
    <m/>
    <n v="340580.98529999994"/>
    <n v="340580.98529999994"/>
    <n v="295626.95009999996"/>
    <n v="0"/>
    <n v="5256.0014725625761"/>
    <n v="0"/>
    <n v="0"/>
    <n v="0"/>
    <n v="74173.265635505566"/>
    <n v="247349.46034520431"/>
    <n v="11902.604921719811"/>
    <n v="0"/>
    <n v="0"/>
    <n v="0"/>
    <n v="0"/>
    <n v="0"/>
    <n v="933.58851241765433"/>
    <m/>
    <n v="83.4090209811753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3.35070104128874"/>
    <n v="0"/>
    <n v="0"/>
    <n v="0"/>
    <n v="0"/>
    <n v="0"/>
    <m/>
    <m/>
    <m/>
    <m/>
    <m/>
    <m/>
    <m/>
    <m/>
    <m/>
    <n v="12785.955622761099"/>
    <m/>
    <m/>
    <m/>
    <m/>
    <m/>
    <m/>
    <m/>
    <m/>
    <m/>
    <m/>
    <m/>
    <m/>
    <n v="295626.95009999996"/>
    <n v="-44954.065200000012"/>
    <m/>
    <m/>
    <m/>
    <m/>
    <n v="-44954.035199999984"/>
    <n v="0"/>
    <n v="31"/>
    <n v="-1001.4447706143837"/>
    <n v="0"/>
    <n v="0"/>
    <n v="0"/>
    <n v="0"/>
    <n v="0"/>
    <n v="0"/>
    <n v="0"/>
    <n v="-396.84031362661335"/>
    <n v="0"/>
    <n v="0"/>
    <n v="0"/>
    <n v="0"/>
    <n v="0"/>
    <n v="0"/>
    <n v="0"/>
    <n v="0"/>
    <n v="-518.14853090853103"/>
    <m/>
    <n v="0"/>
    <n v="0"/>
    <n v="0"/>
    <n v="0"/>
    <n v="-79.558830126528392"/>
    <n v="-6.8970959527138973"/>
    <n v="0"/>
    <n v="0"/>
    <m/>
    <m/>
    <m/>
    <n v="247349.46034520431"/>
    <n v="0"/>
    <n v="0"/>
    <n v="-44954.035199999984"/>
    <n v="0"/>
    <n v="0"/>
    <n v="0"/>
    <n v="-43952.50705412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54"/>
    <s v="PROJETADO"/>
    <s v="Verde"/>
    <s v="A4"/>
    <s v="Industrial"/>
    <s v="Não se aplica"/>
    <s v="Não se aplica"/>
    <s v="Não se aplica"/>
    <s v="Ponta"/>
    <s v="CATIVO"/>
    <x v="11"/>
    <n v="0"/>
    <n v="0"/>
    <n v="2.9039999999999999"/>
    <n v="2.9039999999999999"/>
    <n v="2.9039999999999999"/>
    <n v="2.9039999999999999"/>
    <m/>
    <n v="3312.96"/>
    <n v="119.97"/>
    <m/>
    <n v="9969.2287199999992"/>
    <n v="9969.2287199999992"/>
    <n v="8653.3682399999998"/>
    <n v="0"/>
    <n v="153.84969535653383"/>
    <n v="0"/>
    <n v="0"/>
    <n v="0"/>
    <n v="2171.1436690405017"/>
    <n v="7240.2261147311092"/>
    <n v="348.4040388335282"/>
    <n v="0"/>
    <n v="0"/>
    <n v="0"/>
    <n v="0"/>
    <n v="0"/>
    <n v="27.327296039319307"/>
    <m/>
    <n v="2.44148570637368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856772863863547"/>
    <n v="0"/>
    <n v="0"/>
    <n v="0"/>
    <n v="0"/>
    <n v="0"/>
    <m/>
    <m/>
    <m/>
    <m/>
    <m/>
    <m/>
    <m/>
    <m/>
    <m/>
    <n v="374.26081169739177"/>
    <m/>
    <m/>
    <m/>
    <m/>
    <m/>
    <m/>
    <m/>
    <m/>
    <m/>
    <m/>
    <m/>
    <m/>
    <n v="8641.4490000000005"/>
    <n v="-1327.8097199999993"/>
    <m/>
    <m/>
    <m/>
    <m/>
    <n v="-1315.8604799999996"/>
    <n v="0"/>
    <n v="31"/>
    <n v="-29.313533049734815"/>
    <n v="0"/>
    <n v="0"/>
    <n v="0"/>
    <n v="0"/>
    <n v="0"/>
    <n v="0"/>
    <n v="0"/>
    <n v="-11.616009180240781"/>
    <n v="0"/>
    <n v="0"/>
    <n v="0"/>
    <n v="0"/>
    <n v="0"/>
    <n v="0"/>
    <n v="0"/>
    <n v="0"/>
    <n v="-15.16685146415054"/>
    <m/>
    <n v="0"/>
    <n v="0"/>
    <n v="0"/>
    <n v="0"/>
    <n v="-2.3287858349706561"/>
    <n v="-0.20188657037275659"/>
    <n v="0"/>
    <n v="0"/>
    <m/>
    <m/>
    <m/>
    <n v="7240.2261147311092"/>
    <n v="0"/>
    <n v="0"/>
    <n v="-1315.8604799999994"/>
    <n v="0"/>
    <n v="0"/>
    <n v="0"/>
    <n v="-1286.5445064528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55"/>
    <s v="PROJETADO"/>
    <s v="Verde"/>
    <s v="A4"/>
    <s v="Industrial"/>
    <s v="Não se aplica"/>
    <s v="Não se aplica"/>
    <s v="Não se aplica"/>
    <s v="Fora ponta"/>
    <s v="CATIVO"/>
    <x v="11"/>
    <n v="0"/>
    <n v="0"/>
    <n v="2235.3539999999998"/>
    <n v="2235.3539999999998"/>
    <n v="2235.3539999999998"/>
    <n v="2235.3539999999998"/>
    <m/>
    <n v="72.13"/>
    <n v="119.97"/>
    <m/>
    <n v="429411.50339999993"/>
    <n v="429411.50339999993"/>
    <n v="415798.19753999996"/>
    <n v="0"/>
    <n v="118425.80300069191"/>
    <n v="0"/>
    <n v="0"/>
    <n v="0"/>
    <n v="0"/>
    <n v="0"/>
    <n v="268184.00889210834"/>
    <n v="0"/>
    <n v="0"/>
    <n v="0"/>
    <n v="0"/>
    <n v="0"/>
    <n v="21035.186126266035"/>
    <m/>
    <n v="1879.33362248114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03.250911958967"/>
    <n v="0"/>
    <n v="0"/>
    <n v="0"/>
    <n v="0"/>
    <n v="0"/>
    <m/>
    <m/>
    <m/>
    <m/>
    <m/>
    <m/>
    <m/>
    <m/>
    <m/>
    <n v="288087.25980406732"/>
    <m/>
    <m/>
    <m/>
    <m/>
    <m/>
    <m/>
    <m/>
    <m/>
    <m/>
    <m/>
    <m/>
    <m/>
    <n v="415797.45349999995"/>
    <n v="-13614.079900000012"/>
    <m/>
    <m/>
    <m/>
    <m/>
    <n v="-13613.305859999975"/>
    <n v="0"/>
    <n v="31"/>
    <n v="-13622.66899854294"/>
    <n v="0"/>
    <n v="0"/>
    <n v="0"/>
    <n v="0"/>
    <n v="0"/>
    <n v="0"/>
    <n v="0"/>
    <n v="0"/>
    <n v="0"/>
    <n v="0"/>
    <n v="0"/>
    <n v="0"/>
    <n v="0"/>
    <n v="0"/>
    <n v="0"/>
    <n v="0"/>
    <n v="-11674.683914529873"/>
    <m/>
    <n v="0"/>
    <n v="0"/>
    <n v="0"/>
    <n v="0"/>
    <n v="-1792.5828964686625"/>
    <n v="-155.40218754442913"/>
    <n v="0"/>
    <n v="0"/>
    <m/>
    <m/>
    <m/>
    <n v="0"/>
    <n v="0"/>
    <n v="0"/>
    <n v="-13613.305859999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56"/>
    <s v="PROJETADO"/>
    <s v="Verde"/>
    <s v="A4"/>
    <s v="Industrial"/>
    <s v="Não se aplica"/>
    <s v="Não se aplica"/>
    <s v="Não se aplica"/>
    <s v="Fora ponta"/>
    <s v="CATIVO"/>
    <x v="11"/>
    <n v="0"/>
    <n v="0"/>
    <n v="15.888999999999999"/>
    <n v="15.888999999999999"/>
    <n v="15.888999999999999"/>
    <n v="15.888999999999999"/>
    <m/>
    <n v="72.13"/>
    <n v="119.97"/>
    <m/>
    <n v="3052.2768999999998"/>
    <n v="3052.2768999999998"/>
    <n v="2955.51289"/>
    <n v="0"/>
    <n v="841.77610520659994"/>
    <n v="0"/>
    <n v="0"/>
    <n v="0"/>
    <n v="0"/>
    <n v="0"/>
    <n v="1906.2643846508022"/>
    <n v="0"/>
    <n v="0"/>
    <n v="0"/>
    <n v="0"/>
    <n v="0"/>
    <n v="149.51907946582108"/>
    <m/>
    <n v="13.3583906296733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47323141664185"/>
    <n v="0"/>
    <n v="0"/>
    <n v="0"/>
    <n v="0"/>
    <n v="0"/>
    <m/>
    <m/>
    <m/>
    <m/>
    <m/>
    <m/>
    <m/>
    <m/>
    <m/>
    <n v="2047.7376160674439"/>
    <m/>
    <m/>
    <m/>
    <m/>
    <m/>
    <m/>
    <m/>
    <m/>
    <m/>
    <m/>
    <m/>
    <m/>
    <n v="2955.6989000000003"/>
    <n v="-96.607999999999265"/>
    <m/>
    <m/>
    <m/>
    <m/>
    <n v="-96.764009999999828"/>
    <n v="0"/>
    <n v="31"/>
    <n v="-96.830563623412218"/>
    <n v="0"/>
    <n v="0"/>
    <n v="0"/>
    <n v="0"/>
    <n v="0"/>
    <n v="0"/>
    <n v="0"/>
    <n v="0"/>
    <n v="0"/>
    <n v="0"/>
    <n v="0"/>
    <n v="0"/>
    <n v="0"/>
    <n v="0"/>
    <n v="0"/>
    <n v="0"/>
    <n v="-82.984195218281002"/>
    <m/>
    <n v="0"/>
    <n v="0"/>
    <n v="0"/>
    <n v="0"/>
    <n v="-12.741762442096643"/>
    <n v="-1.1046059630346843"/>
    <n v="0"/>
    <n v="0"/>
    <m/>
    <m/>
    <m/>
    <n v="0"/>
    <n v="0"/>
    <n v="0"/>
    <n v="-96.764009999999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57"/>
    <s v="PROJETADO"/>
    <s v="Verde"/>
    <s v="A4"/>
    <s v="Industrial"/>
    <s v="Não se aplica"/>
    <s v="Não se aplica"/>
    <s v="Não se aplica"/>
    <s v="Não se aplica"/>
    <s v="CATIVO"/>
    <x v="11"/>
    <n v="10435"/>
    <n v="10435"/>
    <n v="0"/>
    <n v="0"/>
    <n v="0"/>
    <n v="0"/>
    <n v="46.29"/>
    <m/>
    <m/>
    <n v="483036.14999999997"/>
    <m/>
    <n v="483036.14999999997"/>
    <n v="429400.25"/>
    <n v="0"/>
    <n v="0"/>
    <n v="0"/>
    <n v="0"/>
    <n v="0"/>
    <n v="186922.28411763842"/>
    <n v="296076.7244083844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23372.07"/>
    <n v="26"/>
    <m/>
    <m/>
    <m/>
    <m/>
    <m/>
    <m/>
    <m/>
    <m/>
    <m/>
    <n v="0"/>
    <m/>
    <m/>
    <m/>
    <m/>
    <m/>
    <m/>
    <m/>
    <m/>
    <m/>
    <m/>
    <m/>
    <m/>
    <n v="429400.25"/>
    <n v="-53635.929999999993"/>
    <m/>
    <m/>
    <m/>
    <m/>
    <n v="-53635.900000000009"/>
    <n v="0"/>
    <n v="31"/>
    <n v="-1000.0678440880147"/>
    <n v="0"/>
    <n v="0"/>
    <n v="0"/>
    <n v="0"/>
    <m/>
    <m/>
    <m/>
    <n v="-1000.06784408801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6076.72440838447"/>
    <m/>
    <n v="0"/>
    <n v="0"/>
    <n v="-53635.899999999965"/>
    <m/>
    <n v="0"/>
    <m/>
    <n v="-52611.047947957268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358"/>
    <s v="PROJETADO"/>
    <s v="Verde"/>
    <s v="A4"/>
    <s v="Industrial"/>
    <s v="Não se aplica"/>
    <s v="Não se aplica"/>
    <s v="Não se aplica"/>
    <s v="Não se aplica"/>
    <s v="CATIVO"/>
    <x v="11"/>
    <n v="74"/>
    <n v="74"/>
    <n v="0"/>
    <n v="0"/>
    <n v="0"/>
    <n v="0"/>
    <n v="46.29"/>
    <m/>
    <m/>
    <n v="3425.46"/>
    <m/>
    <n v="3425.46"/>
    <n v="3045.1"/>
    <n v="0"/>
    <n v="0"/>
    <n v="0"/>
    <n v="0"/>
    <n v="0"/>
    <n v="1325.5629156401767"/>
    <n v="2099.63369489414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372.02"/>
    <n v="1"/>
    <m/>
    <m/>
    <m/>
    <m/>
    <m/>
    <m/>
    <m/>
    <m/>
    <m/>
    <n v="0"/>
    <m/>
    <m/>
    <m/>
    <m/>
    <m/>
    <m/>
    <m/>
    <m/>
    <m/>
    <m/>
    <m/>
    <m/>
    <n v="3045.1"/>
    <n v="-380.39000000000078"/>
    <m/>
    <m/>
    <m/>
    <m/>
    <n v="-380.36"/>
    <n v="0"/>
    <n v="31"/>
    <n v="-7.0920000443231856"/>
    <n v="0"/>
    <n v="0"/>
    <n v="0"/>
    <n v="0"/>
    <m/>
    <m/>
    <m/>
    <n v="-7.09200004432318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99.6336948941498"/>
    <m/>
    <n v="0"/>
    <n v="0"/>
    <n v="-380.36000000000013"/>
    <m/>
    <n v="0"/>
    <m/>
    <n v="-373.09224227588311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  <r>
    <n v="359"/>
    <s v="PROJETADO"/>
    <s v="Branca"/>
    <s v="B3"/>
    <s v="Industrial"/>
    <s v="Não se aplica"/>
    <s v="Não se aplica"/>
    <s v="Não se aplica"/>
    <s v="Ponta"/>
    <s v="CATIVO"/>
    <x v="11"/>
    <n v="0"/>
    <n v="0"/>
    <n v="9.2999999999999999E-2"/>
    <n v="9.2999999999999999E-2"/>
    <n v="9.2999999999999999E-2"/>
    <n v="9.2999999999999999E-2"/>
    <m/>
    <n v="2187.66"/>
    <n v="119.97"/>
    <m/>
    <n v="214.60958999999997"/>
    <n v="214.60958999999997"/>
    <n v="185.15834999999998"/>
    <n v="0"/>
    <n v="5.6632238007653557"/>
    <n v="0"/>
    <n v="0"/>
    <n v="0"/>
    <n v="34.000487035519193"/>
    <n v="161.0605467495503"/>
    <n v="11.157567359338197"/>
    <n v="0"/>
    <n v="0"/>
    <n v="0"/>
    <n v="0"/>
    <n v="0"/>
    <n v="0.87515100952365543"/>
    <m/>
    <n v="0.200070783862237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528344560981016"/>
    <n v="0"/>
    <n v="0"/>
    <n v="0"/>
    <n v="0"/>
    <n v="0"/>
    <m/>
    <m/>
    <m/>
    <m/>
    <m/>
    <m/>
    <m/>
    <m/>
    <m/>
    <n v="12.810401815436299"/>
    <m/>
    <m/>
    <m/>
    <m/>
    <m/>
    <m/>
    <m/>
    <m/>
    <m/>
    <m/>
    <m/>
    <m/>
    <n v="179.18549999999999"/>
    <n v="-35.454089999999951"/>
    <m/>
    <m/>
    <m/>
    <m/>
    <n v="-29.451239999999984"/>
    <n v="0"/>
    <n v="31"/>
    <n v="-0.83132490012739879"/>
    <n v="0"/>
    <n v="0"/>
    <n v="0"/>
    <n v="0"/>
    <n v="0"/>
    <n v="0"/>
    <n v="0"/>
    <n v="-0.18190872173458672"/>
    <n v="0"/>
    <n v="0"/>
    <n v="0"/>
    <n v="0"/>
    <n v="0"/>
    <n v="0"/>
    <n v="0"/>
    <n v="0"/>
    <n v="-0.55829343045106672"/>
    <m/>
    <n v="0"/>
    <n v="0"/>
    <n v="0"/>
    <n v="0"/>
    <n v="-7.4578885210836998E-2"/>
    <n v="-1.6543862730914738E-2"/>
    <n v="0"/>
    <n v="0"/>
    <m/>
    <m/>
    <m/>
    <n v="161.0605467495503"/>
    <n v="0"/>
    <n v="0"/>
    <n v="-29.451239999999984"/>
    <n v="0"/>
    <n v="0"/>
    <n v="0"/>
    <n v="-28.61948761590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60"/>
    <s v="PROJETADO"/>
    <s v="Branca"/>
    <s v="B3"/>
    <s v="Industrial"/>
    <s v="Não se aplica"/>
    <s v="Não se aplica"/>
    <s v="Não se aplica"/>
    <s v="Ponta"/>
    <s v="CATIVO"/>
    <x v="11"/>
    <n v="0"/>
    <n v="0"/>
    <n v="0.02"/>
    <n v="0.02"/>
    <n v="0.02"/>
    <n v="0.02"/>
    <m/>
    <n v="2187.66"/>
    <n v="119.97"/>
    <m/>
    <n v="46.1526"/>
    <n v="46.1526"/>
    <n v="39.819000000000003"/>
    <n v="0"/>
    <n v="1.2178975915624421"/>
    <n v="0"/>
    <n v="0"/>
    <n v="0"/>
    <n v="7.3119326958105795"/>
    <n v="34.636676720333398"/>
    <n v="2.3994768514705802"/>
    <n v="0"/>
    <n v="0"/>
    <n v="0"/>
    <n v="0"/>
    <n v="0"/>
    <n v="0.18820451817713021"/>
    <m/>
    <n v="4.30259750241370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5544827012862401"/>
    <n v="0"/>
    <n v="0"/>
    <n v="0"/>
    <n v="0"/>
    <n v="0"/>
    <m/>
    <m/>
    <m/>
    <m/>
    <m/>
    <m/>
    <m/>
    <m/>
    <m/>
    <n v="2.7549251215992041"/>
    <m/>
    <m/>
    <m/>
    <m/>
    <m/>
    <m/>
    <m/>
    <m/>
    <m/>
    <m/>
    <m/>
    <m/>
    <n v="39.819000000000003"/>
    <n v="-6.363599999999991"/>
    <m/>
    <m/>
    <m/>
    <m/>
    <n v="-6.333599999999997"/>
    <n v="0"/>
    <n v="31"/>
    <n v="-0.17877954841449473"/>
    <n v="0"/>
    <n v="0"/>
    <n v="0"/>
    <n v="0"/>
    <n v="0"/>
    <n v="0"/>
    <n v="0"/>
    <n v="-3.9120155211739949E-2"/>
    <n v="0"/>
    <n v="0"/>
    <n v="0"/>
    <n v="0"/>
    <n v="0"/>
    <n v="0"/>
    <n v="0"/>
    <n v="0"/>
    <n v="-0.12006310332281012"/>
    <m/>
    <n v="0"/>
    <n v="0"/>
    <n v="0"/>
    <n v="0"/>
    <n v="-1.6038469937814409E-2"/>
    <n v="-3.5578199421322093E-3"/>
    <n v="0"/>
    <n v="0"/>
    <m/>
    <m/>
    <m/>
    <n v="34.636676720333398"/>
    <n v="0"/>
    <n v="0"/>
    <n v="-6.333599999999997"/>
    <n v="0"/>
    <n v="0"/>
    <n v="0"/>
    <n v="-6.1547285195503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61"/>
    <s v="PROJETADO"/>
    <s v="Branca"/>
    <s v="B3"/>
    <s v="Industrial"/>
    <s v="Não se aplica"/>
    <s v="Não se aplica"/>
    <s v="Não se aplica"/>
    <s v="Fora ponta"/>
    <s v="CATIVO"/>
    <x v="11"/>
    <n v="0"/>
    <n v="0"/>
    <n v="32.578000000000003"/>
    <n v="32.578000000000003"/>
    <n v="32.578000000000003"/>
    <n v="32.578000000000003"/>
    <m/>
    <n v="509.72"/>
    <n v="119.97"/>
    <m/>
    <n v="20514.040820000002"/>
    <n v="20514.040820000002"/>
    <n v="18268.439280000002"/>
    <n v="0"/>
    <n v="1983.8333868960619"/>
    <n v="0"/>
    <n v="0"/>
    <n v="0"/>
    <n v="2382.0814336411677"/>
    <n v="11283.945799331768"/>
    <n v="3908.5078433604281"/>
    <n v="0"/>
    <n v="0"/>
    <n v="0"/>
    <n v="0"/>
    <n v="0"/>
    <n v="306.56633965872743"/>
    <m/>
    <n v="70.085010716816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8.98968721251572"/>
    <n v="0"/>
    <n v="0"/>
    <n v="0"/>
    <n v="0"/>
    <n v="0"/>
    <m/>
    <m/>
    <m/>
    <m/>
    <m/>
    <m/>
    <m/>
    <m/>
    <m/>
    <n v="4487.497530572944"/>
    <m/>
    <m/>
    <m/>
    <m/>
    <m/>
    <m/>
    <m/>
    <m/>
    <m/>
    <m/>
    <m/>
    <m/>
    <n v="18269.560799999999"/>
    <n v="-2244.5100199999979"/>
    <m/>
    <m/>
    <m/>
    <m/>
    <n v="-2245.6015400000006"/>
    <n v="0"/>
    <n v="31"/>
    <n v="-240.23574975284828"/>
    <n v="0"/>
    <n v="0"/>
    <n v="0"/>
    <n v="0"/>
    <n v="0"/>
    <n v="0"/>
    <n v="0"/>
    <n v="-12.744564164877374"/>
    <n v="0"/>
    <n v="0"/>
    <n v="0"/>
    <n v="0"/>
    <n v="0"/>
    <n v="0"/>
    <n v="0"/>
    <n v="0"/>
    <n v="-195.57078900252532"/>
    <m/>
    <n v="0"/>
    <n v="0"/>
    <n v="0"/>
    <n v="0"/>
    <n v="-26.12506368170591"/>
    <n v="-5.7953329037391512"/>
    <n v="0"/>
    <n v="0"/>
    <m/>
    <m/>
    <m/>
    <n v="11283.945799331768"/>
    <n v="0"/>
    <n v="0"/>
    <n v="-2245.6015400000015"/>
    <n v="0"/>
    <n v="0"/>
    <n v="0"/>
    <n v="-2005.08910207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62"/>
    <s v="PROJETADO"/>
    <s v="Branca"/>
    <s v="B3"/>
    <s v="Industrial"/>
    <s v="Não se aplica"/>
    <s v="Não se aplica"/>
    <s v="Não se aplica"/>
    <s v="Fora ponta"/>
    <s v="CATIVO"/>
    <x v="11"/>
    <n v="0"/>
    <n v="0"/>
    <n v="0.17499999999999999"/>
    <n v="0.17499999999999999"/>
    <n v="0.17499999999999999"/>
    <n v="0.17499999999999999"/>
    <m/>
    <n v="509.72"/>
    <n v="119.97"/>
    <m/>
    <n v="110.19574999999999"/>
    <n v="110.19574999999999"/>
    <n v="98.132999999999996"/>
    <n v="0"/>
    <n v="10.656603926171368"/>
    <n v="0"/>
    <n v="0"/>
    <n v="0"/>
    <n v="12.795882217668497"/>
    <n v="60.614233988675153"/>
    <n v="20.995422450367574"/>
    <n v="0"/>
    <n v="0"/>
    <n v="0"/>
    <n v="0"/>
    <n v="0"/>
    <n v="1.6467895340498893"/>
    <m/>
    <n v="0.376477281461198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101723636254599"/>
    <n v="0"/>
    <n v="0"/>
    <n v="0"/>
    <n v="0"/>
    <n v="0"/>
    <m/>
    <m/>
    <m/>
    <m/>
    <m/>
    <m/>
    <m/>
    <m/>
    <m/>
    <n v="24.105594813993033"/>
    <m/>
    <m/>
    <m/>
    <m/>
    <m/>
    <m/>
    <m/>
    <m/>
    <m/>
    <m/>
    <m/>
    <m/>
    <n v="100.93680000000001"/>
    <n v="-9.2889499999999998"/>
    <m/>
    <m/>
    <m/>
    <m/>
    <n v="-12.062750000000001"/>
    <n v="0"/>
    <n v="31"/>
    <n v="-1.2904799621446514"/>
    <n v="0"/>
    <n v="0"/>
    <n v="0"/>
    <n v="0"/>
    <n v="0"/>
    <n v="0"/>
    <n v="0"/>
    <n v="-6.8460271620528701E-2"/>
    <n v="0"/>
    <n v="0"/>
    <n v="0"/>
    <n v="0"/>
    <n v="0"/>
    <n v="0"/>
    <n v="0"/>
    <n v="0"/>
    <n v="-1.0505521540745892"/>
    <m/>
    <n v="0"/>
    <n v="0"/>
    <n v="0"/>
    <n v="0"/>
    <n v="-0.14033661195587621"/>
    <n v="-3.1130924493656786E-2"/>
    <n v="0"/>
    <n v="0"/>
    <m/>
    <m/>
    <m/>
    <n v="60.614233988675153"/>
    <n v="0"/>
    <n v="0"/>
    <n v="-12.062749999999994"/>
    <n v="0"/>
    <n v="0"/>
    <n v="0"/>
    <n v="-10.770783745595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63"/>
    <s v="PROJETADO"/>
    <s v="Branca"/>
    <s v="B3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809.19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364"/>
    <s v="PROJETADO"/>
    <s v="Branca"/>
    <s v="B3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06.0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"/>
    <m/>
    <m/>
    <m/>
    <m/>
    <n v="0"/>
    <m/>
    <m/>
    <m/>
    <m/>
    <n v="0"/>
    <n v="0"/>
    <n v="0"/>
    <n v="0"/>
  </r>
  <r>
    <n v="365"/>
    <s v="PROJETADO"/>
    <s v="Branca"/>
    <s v="B3"/>
    <s v="Industrial"/>
    <s v="Não se aplica"/>
    <s v="Não se aplica"/>
    <s v="Não se aplica"/>
    <s v="Intermediário"/>
    <s v="CATIVO"/>
    <x v="11"/>
    <n v="0"/>
    <n v="0"/>
    <n v="0.113"/>
    <n v="0.113"/>
    <n v="0.113"/>
    <n v="0.113"/>
    <m/>
    <n v="1348.63"/>
    <n v="119.97"/>
    <m/>
    <n v="165.95180000000002"/>
    <n v="165.95180000000002"/>
    <n v="144.16540000000001"/>
    <n v="0"/>
    <n v="6.8811213923277972"/>
    <n v="0"/>
    <n v="0"/>
    <n v="0"/>
    <n v="24.780543407404597"/>
    <n v="117.41832337855078"/>
    <n v="13.557044210808778"/>
    <n v="0"/>
    <n v="0"/>
    <n v="0"/>
    <n v="0"/>
    <n v="0"/>
    <n v="1.0633555277007858"/>
    <m/>
    <n v="0.24309675888637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082827262267258"/>
    <n v="0"/>
    <n v="0"/>
    <n v="0"/>
    <n v="0"/>
    <n v="0"/>
    <m/>
    <m/>
    <m/>
    <m/>
    <m/>
    <m/>
    <m/>
    <m/>
    <m/>
    <n v="15.565326937035504"/>
    <m/>
    <m/>
    <m/>
    <m/>
    <m/>
    <m/>
    <m/>
    <m/>
    <m/>
    <m/>
    <m/>
    <m/>
    <n v="140.33799999999999"/>
    <n v="-25.643799999999999"/>
    <m/>
    <m/>
    <m/>
    <m/>
    <n v="-21.786400000000022"/>
    <n v="0"/>
    <n v="31"/>
    <n v="-0.92165593641266241"/>
    <n v="0"/>
    <n v="0"/>
    <n v="0"/>
    <n v="0"/>
    <n v="0"/>
    <n v="0"/>
    <n v="0"/>
    <n v="-0.13258036481708757"/>
    <n v="0"/>
    <n v="0"/>
    <n v="0"/>
    <n v="0"/>
    <n v="0"/>
    <n v="0"/>
    <n v="0"/>
    <n v="0"/>
    <n v="-0.67835653377387661"/>
    <m/>
    <n v="0"/>
    <n v="0"/>
    <n v="0"/>
    <n v="0"/>
    <n v="-9.0617355148651546E-2"/>
    <n v="-2.0101682673046961E-2"/>
    <n v="0"/>
    <n v="0"/>
    <m/>
    <m/>
    <m/>
    <n v="117.41832337855078"/>
    <n v="0"/>
    <n v="0"/>
    <n v="-21.786400000000015"/>
    <n v="0"/>
    <n v="0"/>
    <n v="0"/>
    <n v="-20.864527779350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66"/>
    <s v="PROJETADO"/>
    <s v="Branca"/>
    <s v="B3"/>
    <s v="Industrial"/>
    <s v="Não se aplica"/>
    <s v="Não se aplica"/>
    <s v="Não se aplica"/>
    <s v="Intermediário"/>
    <s v="CATIVO"/>
    <x v="11"/>
    <n v="0"/>
    <n v="0"/>
    <n v="1.2999999999999999E-2"/>
    <n v="1.2999999999999999E-2"/>
    <n v="1.2999999999999999E-2"/>
    <n v="1.2999999999999999E-2"/>
    <m/>
    <n v="1348.63"/>
    <n v="119.97"/>
    <m/>
    <n v="19.091799999999999"/>
    <n v="19.091799999999999"/>
    <n v="16.5854"/>
    <n v="0"/>
    <n v="0.79163343451558732"/>
    <n v="0"/>
    <n v="0"/>
    <n v="0"/>
    <n v="2.8508589760730949"/>
    <n v="13.508302689567788"/>
    <n v="1.5596599534558768"/>
    <n v="0"/>
    <n v="0"/>
    <n v="0"/>
    <n v="0"/>
    <n v="0"/>
    <n v="0.12233293681513463"/>
    <m/>
    <n v="2.796688376568905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3104137558360557"/>
    <n v="0"/>
    <n v="0"/>
    <n v="0"/>
    <n v="0"/>
    <n v="0"/>
    <m/>
    <m/>
    <m/>
    <m/>
    <m/>
    <m/>
    <m/>
    <m/>
    <m/>
    <n v="1.7907013290394824"/>
    <m/>
    <m/>
    <m/>
    <m/>
    <m/>
    <m/>
    <m/>
    <m/>
    <m/>
    <m/>
    <m/>
    <m/>
    <n v="12.757999999999999"/>
    <n v="-6.3638000000000048"/>
    <m/>
    <m/>
    <m/>
    <m/>
    <n v="-2.5064000000000024"/>
    <n v="0"/>
    <n v="31"/>
    <n v="-0.10603121392358084"/>
    <n v="0"/>
    <n v="0"/>
    <n v="0"/>
    <n v="0"/>
    <n v="0"/>
    <n v="0"/>
    <n v="0"/>
    <n v="-1.5252608341788765E-2"/>
    <n v="0"/>
    <n v="0"/>
    <n v="0"/>
    <n v="0"/>
    <n v="0"/>
    <n v="0"/>
    <n v="0"/>
    <n v="0"/>
    <n v="-7.8041017159826587E-2"/>
    <m/>
    <n v="0"/>
    <n v="0"/>
    <n v="0"/>
    <n v="0"/>
    <n v="-1.0425005459579376E-2"/>
    <n v="-2.3125829623859354E-3"/>
    <n v="0"/>
    <n v="0"/>
    <m/>
    <m/>
    <m/>
    <n v="13.508302689567788"/>
    <n v="0"/>
    <n v="0"/>
    <n v="-2.5064000000000011"/>
    <n v="0"/>
    <n v="0"/>
    <n v="0"/>
    <n v="-2.4003439038190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67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78.19"/>
    <n v="78.19"/>
    <n v="78.19"/>
    <n v="78.19"/>
    <m/>
    <n v="707.13"/>
    <n v="119.97"/>
    <m/>
    <n v="64670.948999999993"/>
    <n v="64670.948999999993"/>
    <n v="57002.855699999993"/>
    <n v="0"/>
    <n v="4761.3706342133673"/>
    <n v="0"/>
    <n v="0"/>
    <n v="0"/>
    <n v="8408.4908926159642"/>
    <n v="39827.088956024789"/>
    <n v="9380.7547508242315"/>
    <n v="0"/>
    <n v="0"/>
    <n v="0"/>
    <n v="0"/>
    <n v="0"/>
    <n v="735.78556381349051"/>
    <m/>
    <n v="168.210049356863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9.6250120678556"/>
    <n v="0"/>
    <n v="0"/>
    <n v="0"/>
    <n v="10793.28"/>
    <n v="265"/>
    <m/>
    <m/>
    <m/>
    <m/>
    <m/>
    <m/>
    <m/>
    <m/>
    <m/>
    <n v="10770.379762892087"/>
    <m/>
    <m/>
    <m/>
    <m/>
    <m/>
    <m/>
    <m/>
    <m/>
    <m/>
    <m/>
    <m/>
    <m/>
    <n v="57002.855699999993"/>
    <n v="-7668.1233000000066"/>
    <m/>
    <m/>
    <m/>
    <m/>
    <n v="-7668.0933000000041"/>
    <n v="0"/>
    <n v="31"/>
    <n v="-590.98533654247876"/>
    <n v="0"/>
    <n v="0"/>
    <n v="0"/>
    <n v="0"/>
    <n v="0"/>
    <n v="0"/>
    <n v="0"/>
    <n v="-44.986938816302427"/>
    <n v="0"/>
    <n v="0"/>
    <n v="0"/>
    <n v="0"/>
    <n v="0"/>
    <n v="0"/>
    <n v="0"/>
    <n v="0"/>
    <n v="-469.38670244052628"/>
    <m/>
    <n v="0"/>
    <n v="0"/>
    <n v="0"/>
    <n v="0"/>
    <n v="-62.70239822188546"/>
    <n v="-13.909297063765848"/>
    <n v="0"/>
    <n v="0"/>
    <m/>
    <m/>
    <m/>
    <n v="39827.088956024789"/>
    <n v="0"/>
    <n v="0"/>
    <n v="-7668.0933000000005"/>
    <n v="0"/>
    <n v="0"/>
    <n v="0"/>
    <n v="-7077.0334644840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68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2.518000000000001"/>
    <n v="12.518000000000001"/>
    <n v="12.518000000000001"/>
    <n v="12.518000000000001"/>
    <m/>
    <n v="707.13"/>
    <n v="119.97"/>
    <m/>
    <n v="10353.6378"/>
    <n v="10353.6378"/>
    <n v="9125.9975400000003"/>
    <n v="0"/>
    <n v="762.28210255893248"/>
    <n v="0"/>
    <n v="0"/>
    <n v="0"/>
    <n v="1346.1758408206504"/>
    <n v="6376.2053913738118"/>
    <n v="1501.8325613354361"/>
    <n v="0"/>
    <n v="0"/>
    <n v="0"/>
    <n v="0"/>
    <n v="0"/>
    <n v="117.7972079270658"/>
    <m/>
    <n v="26.9299577676073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2.47507227350576"/>
    <n v="0"/>
    <n v="0"/>
    <n v="0"/>
    <n v="2988.09"/>
    <n v="8"/>
    <m/>
    <m/>
    <m/>
    <m/>
    <m/>
    <m/>
    <m/>
    <m/>
    <m/>
    <n v="1724.3076336089418"/>
    <m/>
    <m/>
    <m/>
    <m/>
    <m/>
    <m/>
    <m/>
    <m/>
    <m/>
    <m/>
    <m/>
    <m/>
    <n v="9127.4555999999993"/>
    <n v="-1226.2122000000018"/>
    <m/>
    <m/>
    <m/>
    <m/>
    <n v="-1227.6402600000006"/>
    <n v="0"/>
    <n v="31"/>
    <n v="-94.615097107542624"/>
    <n v="0"/>
    <n v="0"/>
    <n v="0"/>
    <n v="0"/>
    <n v="0"/>
    <n v="0"/>
    <n v="0"/>
    <n v="-7.2022829019374512"/>
    <n v="0"/>
    <n v="0"/>
    <n v="0"/>
    <n v="0"/>
    <n v="0"/>
    <n v="0"/>
    <n v="0"/>
    <n v="0"/>
    <n v="-75.147496369746818"/>
    <m/>
    <n v="0"/>
    <n v="0"/>
    <n v="0"/>
    <n v="0"/>
    <n v="-10.038478334078036"/>
    <n v="-2.226839501780546"/>
    <n v="0"/>
    <n v="0"/>
    <m/>
    <m/>
    <m/>
    <n v="6376.2053913738118"/>
    <n v="0"/>
    <n v="0"/>
    <n v="-1227.6402600000001"/>
    <n v="0"/>
    <n v="0"/>
    <n v="0"/>
    <n v="-1133.013235815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69"/>
    <s v="PROJETADO"/>
    <s v="Convencional"/>
    <s v="B2"/>
    <s v="Rural"/>
    <s v="Não se aplica"/>
    <s v="Não se aplica"/>
    <s v="Não se aplica"/>
    <s v="Não se aplica"/>
    <s v="CATIVO"/>
    <x v="11"/>
    <n v="0"/>
    <n v="0"/>
    <n v="241.06"/>
    <n v="241.06"/>
    <n v="241.06"/>
    <n v="241.06"/>
    <m/>
    <n v="707.13"/>
    <n v="119.97"/>
    <m/>
    <n v="199380.726"/>
    <n v="199380.726"/>
    <n v="175739.9718"/>
    <n v="0"/>
    <n v="14679.319671102114"/>
    <n v="0"/>
    <n v="0"/>
    <n v="0"/>
    <n v="25923.402155953503"/>
    <n v="122787.03240490262"/>
    <n v="28920.894490774899"/>
    <n v="0"/>
    <n v="0"/>
    <n v="0"/>
    <n v="0"/>
    <n v="0"/>
    <n v="2268.4290575889504"/>
    <m/>
    <n v="518.5920769659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84.2179998603051"/>
    <n v="0"/>
    <n v="0"/>
    <n v="0"/>
    <n v="24873.279999999999"/>
    <n v="698"/>
    <m/>
    <m/>
    <m/>
    <m/>
    <m/>
    <n v="21087.92879999998"/>
    <m/>
    <m/>
    <m/>
    <n v="33205.112490635205"/>
    <m/>
    <m/>
    <m/>
    <m/>
    <m/>
    <m/>
    <m/>
    <m/>
    <m/>
    <m/>
    <m/>
    <m/>
    <n v="154652.04300000001"/>
    <n v="-20805.918600000034"/>
    <m/>
    <m/>
    <m/>
    <m/>
    <n v="-23640.754200000014"/>
    <n v="0"/>
    <n v="31"/>
    <n v="-1822.0095309749449"/>
    <n v="0"/>
    <n v="0"/>
    <n v="0"/>
    <n v="0"/>
    <n v="0"/>
    <n v="0"/>
    <n v="0"/>
    <n v="-138.69486470210904"/>
    <n v="0"/>
    <n v="0"/>
    <n v="0"/>
    <n v="0"/>
    <n v="0"/>
    <n v="0"/>
    <n v="0"/>
    <n v="0"/>
    <n v="-1447.1205843498301"/>
    <m/>
    <n v="0"/>
    <n v="0"/>
    <n v="0"/>
    <n v="0"/>
    <n v="-193.31167816047719"/>
    <n v="-42.882403762519459"/>
    <n v="0"/>
    <n v="0"/>
    <m/>
    <m/>
    <m/>
    <n v="122787.03240490262"/>
    <n v="0"/>
    <n v="0"/>
    <n v="-23640.754199999996"/>
    <n v="0"/>
    <n v="0"/>
    <n v="0"/>
    <n v="-21818.514988470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70"/>
    <s v="PROJETADO"/>
    <s v="Convencional"/>
    <s v="B2"/>
    <s v="Rural"/>
    <s v="Não se aplica"/>
    <s v="Não se aplica"/>
    <s v="Não se aplica"/>
    <s v="Não se aplica"/>
    <s v="CATIVO"/>
    <x v="11"/>
    <n v="0"/>
    <n v="0"/>
    <n v="28.602"/>
    <n v="28.602"/>
    <n v="28.602"/>
    <n v="28.602"/>
    <m/>
    <n v="707.13"/>
    <n v="119.97"/>
    <m/>
    <n v="23656.714199999999"/>
    <n v="23656.714199999999"/>
    <n v="20851.716059999999"/>
    <n v="0"/>
    <n v="1741.7153456934484"/>
    <n v="0"/>
    <n v="0"/>
    <n v="0"/>
    <n v="3075.8365073615787"/>
    <n v="14568.799057682838"/>
    <n v="3431.4918452880765"/>
    <n v="0"/>
    <n v="0"/>
    <n v="0"/>
    <n v="0"/>
    <n v="0"/>
    <n v="269.15128144511391"/>
    <m/>
    <n v="61.5314468820183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8.32657111094517"/>
    <n v="0"/>
    <n v="0"/>
    <n v="0"/>
    <n v="5447.69"/>
    <n v="18"/>
    <m/>
    <m/>
    <m/>
    <m/>
    <m/>
    <n v="2502.1029599999979"/>
    <m/>
    <m/>
    <m/>
    <n v="3939.8184163990218"/>
    <m/>
    <m/>
    <m/>
    <m/>
    <m/>
    <m/>
    <m/>
    <m/>
    <m/>
    <m/>
    <m/>
    <m/>
    <n v="18348.330000000002"/>
    <n v="-2469.95171999999"/>
    <m/>
    <m/>
    <m/>
    <m/>
    <n v="-2804.9981400000015"/>
    <n v="0"/>
    <n v="31"/>
    <n v="-216.18317682296947"/>
    <n v="0"/>
    <n v="0"/>
    <n v="0"/>
    <n v="0"/>
    <n v="0"/>
    <n v="0"/>
    <n v="0"/>
    <n v="-16.456278603708142"/>
    <n v="0"/>
    <n v="0"/>
    <n v="0"/>
    <n v="0"/>
    <n v="0"/>
    <n v="0"/>
    <n v="0"/>
    <n v="0"/>
    <n v="-171.70224406195075"/>
    <m/>
    <n v="0"/>
    <n v="0"/>
    <n v="0"/>
    <n v="0"/>
    <n v="-22.936615858068393"/>
    <n v="-5.0880382992432658"/>
    <n v="0"/>
    <n v="0"/>
    <m/>
    <m/>
    <m/>
    <n v="14568.799057682838"/>
    <n v="0"/>
    <n v="0"/>
    <n v="-2804.9981399999997"/>
    <n v="0"/>
    <n v="0"/>
    <n v="0"/>
    <n v="-2588.7877113591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71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27.748000000000001"/>
    <n v="27.748000000000001"/>
    <n v="27.748000000000001"/>
    <n v="27.748000000000001"/>
    <m/>
    <n v="707.13"/>
    <n v="119.97"/>
    <m/>
    <n v="22950.370800000001"/>
    <n v="22950.370800000001"/>
    <n v="20229.12444"/>
    <n v="0"/>
    <n v="1689.7111185337321"/>
    <n v="0"/>
    <n v="0"/>
    <n v="0"/>
    <n v="2983.998021336588"/>
    <n v="14133.803099523928"/>
    <n v="3329.0341837302826"/>
    <n v="0"/>
    <n v="0"/>
    <n v="0"/>
    <n v="0"/>
    <n v="0"/>
    <n v="261.11494851895048"/>
    <m/>
    <n v="59.69423774848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3.14892997645296"/>
    <n v="0"/>
    <n v="0"/>
    <n v="0"/>
    <n v="3935.3"/>
    <n v="83"/>
    <m/>
    <m/>
    <m/>
    <m/>
    <m/>
    <m/>
    <m/>
    <m/>
    <m/>
    <n v="3822.1831137067356"/>
    <m/>
    <m/>
    <m/>
    <m/>
    <m/>
    <m/>
    <m/>
    <m/>
    <m/>
    <m/>
    <m/>
    <m/>
    <n v="20230.582499999997"/>
    <n v="-2719.818299999999"/>
    <m/>
    <m/>
    <m/>
    <m/>
    <n v="-2721.2463600000015"/>
    <n v="0"/>
    <n v="31"/>
    <n v="-209.72836831283894"/>
    <n v="0"/>
    <n v="0"/>
    <n v="0"/>
    <n v="0"/>
    <n v="0"/>
    <n v="0"/>
    <n v="0"/>
    <n v="-15.964926183332864"/>
    <n v="0"/>
    <n v="0"/>
    <n v="0"/>
    <n v="0"/>
    <n v="0"/>
    <n v="0"/>
    <n v="0"/>
    <n v="0"/>
    <n v="-166.57554955006663"/>
    <m/>
    <n v="0"/>
    <n v="0"/>
    <n v="0"/>
    <n v="0"/>
    <n v="-22.251773191723743"/>
    <n v="-4.9361193877142213"/>
    <n v="0"/>
    <n v="0"/>
    <m/>
    <m/>
    <m/>
    <n v="14133.803099523928"/>
    <n v="0"/>
    <n v="0"/>
    <n v="-2721.246360000001"/>
    <n v="0"/>
    <n v="0"/>
    <n v="0"/>
    <n v="-2511.49155355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72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84.697999999999993"/>
    <n v="84.697999999999993"/>
    <n v="84.697999999999993"/>
    <n v="84.697999999999993"/>
    <m/>
    <n v="388.92"/>
    <n v="65.989999999999995"/>
    <m/>
    <n v="38529.967179999992"/>
    <n v="38529.967179999992"/>
    <n v="33961.357059999995"/>
    <n v="0"/>
    <n v="2836.7209807792856"/>
    <n v="0"/>
    <n v="0"/>
    <n v="0"/>
    <n v="5009.5958420838015"/>
    <n v="23728.112664260949"/>
    <n v="5588.8494850610123"/>
    <n v="0"/>
    <n v="0"/>
    <n v="0"/>
    <n v="0"/>
    <n v="0"/>
    <n v="438.36502271558072"/>
    <m/>
    <n v="100.21588589634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7.90833354223957"/>
    <n v="0"/>
    <n v="0"/>
    <n v="0"/>
    <n v="6955.94"/>
    <n v="2"/>
    <m/>
    <m/>
    <m/>
    <m/>
    <m/>
    <m/>
    <m/>
    <m/>
    <m/>
    <n v="6416.7578186032515"/>
    <m/>
    <m/>
    <m/>
    <m/>
    <m/>
    <m/>
    <m/>
    <m/>
    <m/>
    <m/>
    <m/>
    <m/>
    <n v="33962.159000000007"/>
    <n v="-4567.8381799999916"/>
    <m/>
    <m/>
    <m/>
    <m/>
    <n v="-4568.6101199999994"/>
    <n v="0"/>
    <n v="31"/>
    <n v="-352.09619924494655"/>
    <n v="0"/>
    <n v="0"/>
    <n v="0"/>
    <n v="0"/>
    <n v="0"/>
    <n v="0"/>
    <n v="0"/>
    <n v="-26.802238894049879"/>
    <n v="0"/>
    <n v="0"/>
    <n v="0"/>
    <n v="0"/>
    <n v="0"/>
    <n v="0"/>
    <n v="0"/>
    <n v="0"/>
    <n v="-279.65037994397471"/>
    <m/>
    <n v="0"/>
    <n v="0"/>
    <n v="0"/>
    <n v="0"/>
    <n v="-37.35672398680714"/>
    <n v="-8.2868564201149866"/>
    <n v="0"/>
    <n v="0"/>
    <m/>
    <m/>
    <m/>
    <n v="23728.112664260949"/>
    <n v="0"/>
    <n v="0"/>
    <n v="-4568.6101199999976"/>
    <n v="0"/>
    <n v="0"/>
    <n v="0"/>
    <n v="-4216.342488888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73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5.5609999999999999"/>
    <n v="5.2273399999999999"/>
    <n v="5.5609999999999999"/>
    <n v="5.2273399999999999"/>
    <m/>
    <n v="707.13"/>
    <n v="119.97"/>
    <m/>
    <n v="4599.5030999999999"/>
    <n v="4599.5030999999999"/>
    <n v="4054.1358299999997"/>
    <n v="0"/>
    <n v="338.63642533393698"/>
    <n v="0"/>
    <n v="0"/>
    <n v="0"/>
    <n v="598.02555127046139"/>
    <n v="2832.5673575195528"/>
    <n v="667.17453855139479"/>
    <n v="0"/>
    <n v="0"/>
    <n v="0"/>
    <n v="0"/>
    <n v="0"/>
    <n v="52.330266279151054"/>
    <m/>
    <n v="11.963372355461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8323915092639"/>
    <n v="0"/>
    <n v="0"/>
    <n v="0"/>
    <n v="780.54"/>
    <n v="7"/>
    <m/>
    <m/>
    <m/>
    <m/>
    <n v="243.24814980000005"/>
    <m/>
    <m/>
    <m/>
    <m/>
    <n v="766.00693006065865"/>
    <m/>
    <m/>
    <m/>
    <m/>
    <m/>
    <m/>
    <m/>
    <m/>
    <m/>
    <m/>
    <m/>
    <m/>
    <n v="3812.8269"/>
    <n v="-510.73601400000007"/>
    <m/>
    <m/>
    <m/>
    <m/>
    <n v="-545.3672700000003"/>
    <n v="0"/>
    <n v="31"/>
    <n v="-42.031838553686384"/>
    <n v="0"/>
    <n v="0"/>
    <n v="0"/>
    <n v="0"/>
    <n v="0"/>
    <n v="0"/>
    <n v="0"/>
    <n v="-3.1995442736598534"/>
    <n v="0"/>
    <n v="0"/>
    <n v="0"/>
    <n v="0"/>
    <n v="0"/>
    <n v="0"/>
    <n v="0"/>
    <n v="0"/>
    <n v="-33.383545878907341"/>
    <m/>
    <n v="0"/>
    <n v="0"/>
    <n v="0"/>
    <n v="0"/>
    <n v="-4.459496566209296"/>
    <n v="-0.9892518349098598"/>
    <n v="0"/>
    <n v="0"/>
    <m/>
    <m/>
    <m/>
    <n v="2832.5673575195528"/>
    <n v="0"/>
    <n v="0"/>
    <n v="-545.36727000000019"/>
    <n v="0"/>
    <n v="0"/>
    <n v="0"/>
    <n v="-503.3301329581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74"/>
    <s v="PROJETADO"/>
    <s v="Verde"/>
    <s v="A4"/>
    <s v="Serviço público"/>
    <s v="Água, esgoto e saneamento"/>
    <s v="Não se aplica"/>
    <s v="Não se aplica"/>
    <s v="Ponta"/>
    <s v="CATIVO"/>
    <x v="11"/>
    <n v="0"/>
    <n v="0"/>
    <n v="4.5410000000000004"/>
    <n v="4.2685399999999998"/>
    <n v="4.5410000000000004"/>
    <n v="4.2685399999999998"/>
    <m/>
    <n v="3312.96"/>
    <n v="119.97"/>
    <m/>
    <n v="15588.935130000002"/>
    <n v="15588.935130000002"/>
    <n v="13531.317210000001"/>
    <n v="0"/>
    <n v="240.57557390289952"/>
    <n v="0"/>
    <n v="0"/>
    <n v="0"/>
    <n v="3395.0287193915015"/>
    <n v="11321.579472105361"/>
    <n v="544.80121912639527"/>
    <n v="0"/>
    <n v="0"/>
    <n v="0"/>
    <n v="0"/>
    <n v="0"/>
    <n v="42.73183585211742"/>
    <m/>
    <n v="3.817763978182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43237106570399"/>
    <n v="0"/>
    <n v="0"/>
    <n v="0"/>
    <n v="0"/>
    <n v="0"/>
    <m/>
    <m/>
    <m/>
    <m/>
    <n v="811.87903260000178"/>
    <m/>
    <m/>
    <m/>
    <m/>
    <n v="585.2335901920992"/>
    <m/>
    <m/>
    <m/>
    <m/>
    <m/>
    <m/>
    <m/>
    <m/>
    <m/>
    <m/>
    <m/>
    <m/>
    <n v="12723.788699999999"/>
    <n v="-1929.8403222000015"/>
    <m/>
    <m/>
    <m/>
    <m/>
    <n v="-2057.6179199999997"/>
    <n v="0"/>
    <n v="31"/>
    <n v="-45.837725061584933"/>
    <n v="0"/>
    <n v="0"/>
    <n v="0"/>
    <n v="0"/>
    <n v="0"/>
    <n v="0"/>
    <n v="0"/>
    <n v="-18.16401435519083"/>
    <n v="0"/>
    <n v="0"/>
    <n v="0"/>
    <n v="0"/>
    <n v="0"/>
    <n v="0"/>
    <n v="0"/>
    <n v="0"/>
    <n v="-23.716485020216112"/>
    <m/>
    <n v="0"/>
    <n v="0"/>
    <n v="0"/>
    <n v="0"/>
    <n v="-3.6415345993807691"/>
    <n v="-0.31569108679844593"/>
    <n v="0"/>
    <n v="0"/>
    <m/>
    <m/>
    <m/>
    <n v="11321.579472105361"/>
    <n v="0"/>
    <n v="0"/>
    <n v="-2057.6179200000006"/>
    <n v="0"/>
    <n v="0"/>
    <n v="0"/>
    <n v="-2011.7763787198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75"/>
    <s v="PROJETADO"/>
    <s v="Verde"/>
    <s v="A4"/>
    <s v="Serviço público"/>
    <s v="Água, esgoto e saneamento"/>
    <s v="Não se aplica"/>
    <s v="Não se aplica"/>
    <s v="Fora ponta"/>
    <s v="CATIVO"/>
    <x v="11"/>
    <n v="0"/>
    <n v="0"/>
    <n v="39.697000000000003"/>
    <n v="37.315179999999998"/>
    <n v="39.697000000000003"/>
    <n v="37.315179999999998"/>
    <m/>
    <n v="72.13"/>
    <n v="119.97"/>
    <m/>
    <n v="7625.7937000000002"/>
    <n v="7625.7937000000002"/>
    <n v="7384.0389700000005"/>
    <n v="0"/>
    <n v="2103.0893101130591"/>
    <n v="0"/>
    <n v="0"/>
    <n v="0"/>
    <n v="0"/>
    <n v="0"/>
    <n v="4762.6016286413806"/>
    <n v="0"/>
    <n v="0"/>
    <n v="0"/>
    <n v="0"/>
    <n v="0"/>
    <n v="373.5577379038769"/>
    <m/>
    <n v="33.374537908373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3.45603043277941"/>
    <n v="0"/>
    <n v="0"/>
    <n v="0"/>
    <n v="0"/>
    <n v="0"/>
    <m/>
    <m/>
    <m/>
    <m/>
    <n v="443.04233820000093"/>
    <m/>
    <m/>
    <m/>
    <m/>
    <n v="5116.0576590741603"/>
    <m/>
    <m/>
    <m/>
    <m/>
    <m/>
    <m/>
    <m/>
    <m/>
    <m/>
    <m/>
    <m/>
    <m/>
    <n v="6941.8932000000004"/>
    <n v="-226.38287800000035"/>
    <m/>
    <m/>
    <m/>
    <m/>
    <n v="-241.7547299999996"/>
    <n v="0"/>
    <n v="31"/>
    <n v="-241.92100724769261"/>
    <n v="0"/>
    <n v="0"/>
    <n v="0"/>
    <n v="0"/>
    <n v="0"/>
    <n v="0"/>
    <n v="0"/>
    <n v="0"/>
    <n v="0"/>
    <n v="0"/>
    <n v="0"/>
    <n v="0"/>
    <n v="0"/>
    <n v="0"/>
    <n v="0"/>
    <n v="0"/>
    <n v="-207.32730804834137"/>
    <m/>
    <n v="0"/>
    <n v="0"/>
    <n v="0"/>
    <n v="0"/>
    <n v="-31.833957056070915"/>
    <n v="-2.7597421432807572"/>
    <n v="0"/>
    <n v="0"/>
    <m/>
    <m/>
    <m/>
    <n v="0"/>
    <n v="0"/>
    <n v="0"/>
    <n v="-241.7547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m/>
    <n v="0"/>
    <m/>
    <m/>
    <m/>
    <m/>
    <n v="0"/>
    <n v="0"/>
    <n v="0"/>
    <n v="0"/>
  </r>
  <r>
    <n v="376"/>
    <s v="PROJETADO"/>
    <s v="Verde"/>
    <s v="A4"/>
    <s v="Serviço público"/>
    <s v="Água, esgoto e saneamento"/>
    <s v="Não se aplica"/>
    <s v="Não se aplica"/>
    <s v="Não se aplica"/>
    <s v="CATIVO"/>
    <x v="11"/>
    <n v="100"/>
    <n v="94"/>
    <n v="0"/>
    <n v="0"/>
    <n v="0"/>
    <n v="0"/>
    <n v="46.29"/>
    <m/>
    <m/>
    <n v="4629"/>
    <m/>
    <n v="4629"/>
    <n v="4115"/>
    <n v="0"/>
    <n v="0"/>
    <n v="0"/>
    <n v="0"/>
    <n v="0"/>
    <n v="1791.3012373515901"/>
    <n v="2837.34283093804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819.1000000000004"/>
    <n v="1"/>
    <m/>
    <m/>
    <m/>
    <m/>
    <n v="246.89999999999998"/>
    <m/>
    <m/>
    <m/>
    <m/>
    <n v="0"/>
    <m/>
    <m/>
    <m/>
    <m/>
    <m/>
    <m/>
    <m/>
    <m/>
    <m/>
    <m/>
    <m/>
    <m/>
    <n v="3868.1"/>
    <n v="-483.19000000000096"/>
    <m/>
    <m/>
    <m/>
    <m/>
    <n v="-514"/>
    <n v="0"/>
    <n v="31"/>
    <n v="-9.5837838436800666"/>
    <n v="0"/>
    <n v="0"/>
    <n v="0"/>
    <n v="0"/>
    <m/>
    <m/>
    <m/>
    <n v="-9.58378384368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7.3428309380402"/>
    <m/>
    <n v="0"/>
    <n v="0"/>
    <n v="-514"/>
    <m/>
    <n v="0"/>
    <m/>
    <n v="-504.17870577822032"/>
    <m/>
    <n v="0"/>
    <n v="0"/>
    <m/>
    <n v="0"/>
    <n v="0"/>
    <n v="0"/>
    <n v="0"/>
    <n v="0"/>
    <m/>
    <m/>
    <n v="0"/>
    <n v="0"/>
    <m/>
    <n v="0"/>
    <m/>
    <n v="0"/>
    <m/>
    <n v="229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10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#DIV/0!"/>
        <filter val="#NÚM!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378" totalsRowShown="0" headerRowDxfId="447" dataDxfId="446" totalsRowDxfId="445">
  <autoFilter ref="A2:FI378" xr:uid="{00000000-0009-0000-0100-00000D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>
    <filterColumn colId="1">
      <filters>
        <filter val="(156.272,38)"/>
        <filter val="(188.587,14)"/>
        <filter val="(2.548.674,17)"/>
        <filter val="(255.991,96)"/>
        <filter val="(29.649,21)"/>
        <filter val="(402.000,00)"/>
        <filter val="(5.292,84)"/>
        <filter val="(631,86)"/>
        <filter val="143.009,23"/>
        <filter val="156.272,38"/>
        <filter val="169.126,08"/>
        <filter val="19.461,06"/>
        <filter val="259.061,82"/>
      </filters>
    </filterColumn>
  </autoFilter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IF(ISERROR(D9/#REF!),0,D9/#REF!)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2035</v>
      </c>
    </row>
    <row r="2" spans="1:15">
      <c r="A2">
        <v>252</v>
      </c>
      <c r="B2" s="909">
        <v>43922</v>
      </c>
      <c r="C2" s="232"/>
      <c r="D2" s="232"/>
      <c r="E2" s="232"/>
      <c r="F2" s="232"/>
      <c r="G2" s="232"/>
      <c r="H2" s="232"/>
      <c r="I2" s="910"/>
    </row>
    <row r="3" spans="1:15">
      <c r="A3">
        <v>255</v>
      </c>
      <c r="B3" s="909">
        <v>43922</v>
      </c>
      <c r="C3" s="232"/>
      <c r="D3" s="232"/>
      <c r="E3" s="232"/>
      <c r="F3" s="232"/>
      <c r="G3" s="232"/>
      <c r="H3" s="232"/>
      <c r="I3" s="910"/>
    </row>
    <row r="4" spans="1:15">
      <c r="A4">
        <v>206</v>
      </c>
      <c r="B4" s="909">
        <v>43922</v>
      </c>
      <c r="C4" s="232"/>
      <c r="D4" s="232"/>
      <c r="E4" s="232"/>
      <c r="F4" s="232"/>
      <c r="G4" s="232"/>
      <c r="H4" s="232"/>
      <c r="I4" s="910"/>
    </row>
    <row r="5" spans="1:15">
      <c r="A5">
        <v>256</v>
      </c>
      <c r="B5" s="909">
        <v>43922</v>
      </c>
      <c r="C5" s="232"/>
      <c r="D5" s="232"/>
      <c r="E5" s="232"/>
      <c r="F5" s="232"/>
      <c r="G5" s="232"/>
      <c r="H5" s="232"/>
      <c r="I5" s="910"/>
      <c r="J5" s="232">
        <v>4154376.2782662762</v>
      </c>
    </row>
    <row r="6" spans="1:15">
      <c r="A6">
        <v>203</v>
      </c>
      <c r="B6" s="909">
        <v>43952</v>
      </c>
      <c r="C6" s="232"/>
      <c r="D6" s="232"/>
      <c r="E6" s="232"/>
      <c r="F6" s="232"/>
      <c r="G6" s="232"/>
      <c r="H6" s="232"/>
      <c r="I6" s="910"/>
      <c r="J6" s="232"/>
    </row>
    <row r="7" spans="1:15">
      <c r="A7">
        <v>211</v>
      </c>
      <c r="B7" s="909">
        <v>43952</v>
      </c>
      <c r="C7" s="232"/>
      <c r="D7" s="232"/>
      <c r="E7" s="232"/>
      <c r="F7" s="232"/>
      <c r="G7" s="232"/>
      <c r="H7" s="232"/>
      <c r="I7" s="910"/>
      <c r="J7" s="232">
        <v>18046086.986190885</v>
      </c>
      <c r="N7" s="232"/>
      <c r="O7" s="910"/>
    </row>
    <row r="8" spans="1:15">
      <c r="A8">
        <v>254</v>
      </c>
      <c r="B8" s="909">
        <v>43952</v>
      </c>
      <c r="C8" s="232"/>
      <c r="D8" s="232"/>
      <c r="E8" s="232"/>
      <c r="F8" s="232"/>
      <c r="G8" s="232"/>
      <c r="H8" s="232"/>
      <c r="I8" s="910"/>
      <c r="N8" s="232"/>
      <c r="O8" s="910"/>
    </row>
    <row r="9" spans="1:15">
      <c r="A9">
        <v>210</v>
      </c>
      <c r="B9" s="909">
        <v>43952</v>
      </c>
      <c r="C9" s="232"/>
      <c r="D9" s="232"/>
      <c r="E9" s="232"/>
      <c r="F9" s="232"/>
      <c r="G9" s="232"/>
      <c r="H9" s="232"/>
      <c r="I9" s="910"/>
      <c r="N9" s="232"/>
      <c r="O9" s="910"/>
    </row>
    <row r="10" spans="1:15">
      <c r="A10">
        <v>258</v>
      </c>
      <c r="B10" s="909">
        <v>44013</v>
      </c>
      <c r="C10" s="232"/>
      <c r="D10" s="232"/>
      <c r="E10" s="232"/>
      <c r="F10" s="232"/>
      <c r="G10" s="232"/>
      <c r="H10" s="232"/>
      <c r="I10" s="910"/>
    </row>
    <row r="11" spans="1:15">
      <c r="A11">
        <v>247</v>
      </c>
      <c r="B11" s="909">
        <v>44013</v>
      </c>
      <c r="C11" s="232"/>
      <c r="D11" s="232"/>
      <c r="E11" s="232"/>
      <c r="F11" s="232"/>
      <c r="G11" s="232"/>
      <c r="H11" s="232"/>
      <c r="I11" s="910"/>
    </row>
    <row r="12" spans="1:15">
      <c r="A12">
        <v>248</v>
      </c>
      <c r="B12" s="909">
        <v>44013</v>
      </c>
      <c r="C12" s="232"/>
      <c r="D12" s="232"/>
      <c r="E12" s="232"/>
      <c r="F12" s="232"/>
      <c r="G12" s="232"/>
      <c r="H12" s="232"/>
      <c r="I12" s="911"/>
    </row>
    <row r="13" spans="1:15">
      <c r="A13">
        <v>209</v>
      </c>
      <c r="B13" s="909">
        <v>44013</v>
      </c>
      <c r="C13" s="232"/>
      <c r="D13" s="232"/>
      <c r="E13" s="232"/>
      <c r="F13" s="232"/>
      <c r="G13" s="232"/>
      <c r="H13" s="232"/>
      <c r="I13" s="910"/>
    </row>
    <row r="14" spans="1:15">
      <c r="A14">
        <v>207</v>
      </c>
      <c r="B14" s="909">
        <v>44013</v>
      </c>
      <c r="C14" s="232"/>
      <c r="D14" s="232"/>
      <c r="E14" s="232"/>
      <c r="F14" s="232"/>
      <c r="G14" s="232"/>
      <c r="H14" s="232"/>
      <c r="I14" s="910"/>
    </row>
    <row r="15" spans="1:15">
      <c r="A15">
        <v>249</v>
      </c>
      <c r="B15" s="909">
        <v>44013</v>
      </c>
      <c r="C15" s="232"/>
      <c r="D15" s="232"/>
      <c r="E15" s="232"/>
      <c r="F15" s="232"/>
      <c r="G15" s="232"/>
      <c r="H15" s="232"/>
      <c r="I15" s="910"/>
    </row>
    <row r="16" spans="1:15">
      <c r="A16">
        <v>237</v>
      </c>
      <c r="B16" s="909">
        <v>44013</v>
      </c>
      <c r="C16" s="232"/>
      <c r="D16" s="232"/>
      <c r="E16" s="232"/>
      <c r="F16" s="232"/>
      <c r="G16" s="232"/>
      <c r="H16" s="232"/>
      <c r="I16" s="911"/>
    </row>
    <row r="17" spans="1:10">
      <c r="A17">
        <v>246</v>
      </c>
      <c r="B17" s="909">
        <v>44013</v>
      </c>
      <c r="C17" s="232"/>
      <c r="D17" s="232"/>
      <c r="E17" s="232"/>
      <c r="F17" s="232"/>
      <c r="G17" s="232"/>
      <c r="H17" s="232"/>
      <c r="I17" s="910"/>
    </row>
    <row r="18" spans="1:10">
      <c r="A18">
        <v>238</v>
      </c>
      <c r="B18" s="909">
        <v>44013</v>
      </c>
      <c r="C18" s="232"/>
      <c r="D18" s="232"/>
      <c r="E18" s="232"/>
      <c r="F18" s="232"/>
      <c r="G18" s="232"/>
      <c r="H18" s="232"/>
      <c r="I18" s="910"/>
    </row>
    <row r="19" spans="1:10">
      <c r="A19">
        <v>240</v>
      </c>
      <c r="B19" s="909">
        <v>44013</v>
      </c>
      <c r="C19" s="232"/>
      <c r="D19" s="232"/>
      <c r="E19" s="232"/>
      <c r="F19" s="232"/>
      <c r="G19" s="232"/>
      <c r="H19" s="232"/>
      <c r="I19" s="910"/>
      <c r="J19" s="232">
        <v>81721407.839354143</v>
      </c>
    </row>
    <row r="20" spans="1:10">
      <c r="A20">
        <v>242</v>
      </c>
      <c r="B20" s="909">
        <v>44013</v>
      </c>
      <c r="C20" s="232"/>
      <c r="D20" s="232"/>
      <c r="E20" s="232"/>
      <c r="F20" s="232"/>
      <c r="G20" s="232"/>
      <c r="H20" s="232"/>
      <c r="I20" s="910"/>
    </row>
    <row r="21" spans="1:10">
      <c r="A21">
        <v>245</v>
      </c>
      <c r="B21" s="909">
        <v>44013</v>
      </c>
      <c r="C21" s="232"/>
      <c r="D21" s="232"/>
      <c r="E21" s="232"/>
      <c r="F21" s="232"/>
      <c r="G21" s="232"/>
      <c r="H21" s="232"/>
      <c r="I21" s="910"/>
    </row>
    <row r="22" spans="1:10">
      <c r="A22">
        <v>257</v>
      </c>
      <c r="B22" s="909">
        <v>44013</v>
      </c>
      <c r="C22" s="232"/>
      <c r="D22" s="232"/>
      <c r="E22" s="232"/>
      <c r="F22" s="232"/>
      <c r="G22" s="232"/>
      <c r="H22" s="232"/>
      <c r="I22" s="910"/>
    </row>
    <row r="23" spans="1:10">
      <c r="A23">
        <v>239</v>
      </c>
      <c r="B23" s="909">
        <v>44013</v>
      </c>
      <c r="C23" s="232"/>
      <c r="D23" s="232"/>
      <c r="E23" s="232"/>
      <c r="F23" s="232"/>
      <c r="G23" s="232"/>
      <c r="H23" s="232"/>
      <c r="I23" s="910"/>
    </row>
    <row r="24" spans="1:10">
      <c r="A24">
        <v>232</v>
      </c>
      <c r="B24" s="909">
        <v>44075</v>
      </c>
      <c r="C24" s="232"/>
      <c r="D24" s="232"/>
      <c r="E24" s="232"/>
      <c r="F24" s="232"/>
      <c r="G24" s="232"/>
      <c r="H24" s="232"/>
      <c r="I24" s="910"/>
    </row>
    <row r="25" spans="1:10">
      <c r="A25">
        <v>222</v>
      </c>
      <c r="B25" s="909">
        <v>44075</v>
      </c>
      <c r="C25" s="232"/>
      <c r="D25" s="232"/>
      <c r="E25" s="232"/>
      <c r="F25" s="232"/>
      <c r="G25" s="232"/>
      <c r="H25" s="232"/>
      <c r="I25" s="910"/>
    </row>
    <row r="26" spans="1:10">
      <c r="A26">
        <v>202</v>
      </c>
      <c r="B26" s="909">
        <v>44075</v>
      </c>
      <c r="C26" s="232"/>
      <c r="D26" s="232"/>
      <c r="E26" s="232"/>
      <c r="F26" s="232"/>
      <c r="G26" s="232"/>
      <c r="H26" s="232"/>
      <c r="I26" s="910"/>
    </row>
    <row r="27" spans="1:10">
      <c r="A27">
        <v>260</v>
      </c>
      <c r="B27" s="909">
        <v>44075</v>
      </c>
      <c r="C27" s="232"/>
      <c r="D27" s="232"/>
      <c r="E27" s="232"/>
      <c r="F27" s="232"/>
      <c r="G27" s="232"/>
      <c r="H27" s="232"/>
      <c r="I27" s="910"/>
    </row>
    <row r="28" spans="1:10">
      <c r="A28">
        <v>230</v>
      </c>
      <c r="B28" s="909">
        <v>44075</v>
      </c>
      <c r="C28" s="232"/>
      <c r="D28" s="232"/>
      <c r="E28" s="232"/>
      <c r="F28" s="232"/>
      <c r="G28" s="232"/>
      <c r="H28" s="232"/>
      <c r="I28" s="910"/>
    </row>
    <row r="29" spans="1:10">
      <c r="A29">
        <v>221</v>
      </c>
      <c r="B29" s="909">
        <v>44075</v>
      </c>
      <c r="C29" s="232"/>
      <c r="D29" s="232"/>
      <c r="E29" s="232"/>
      <c r="F29" s="232"/>
      <c r="G29" s="232"/>
      <c r="H29" s="232"/>
      <c r="I29" s="910"/>
    </row>
    <row r="30" spans="1:10">
      <c r="A30">
        <v>218</v>
      </c>
      <c r="B30" s="909">
        <v>44075</v>
      </c>
      <c r="C30" s="232"/>
      <c r="D30" s="232"/>
      <c r="E30" s="232"/>
      <c r="F30" s="232"/>
      <c r="G30" s="232"/>
      <c r="H30" s="232"/>
      <c r="I30" s="910"/>
    </row>
    <row r="31" spans="1:10">
      <c r="A31">
        <v>261</v>
      </c>
      <c r="B31" s="909">
        <v>44075</v>
      </c>
      <c r="C31" s="232"/>
      <c r="D31" s="232"/>
      <c r="E31" s="232"/>
      <c r="F31" s="232"/>
      <c r="G31" s="232"/>
      <c r="H31" s="232"/>
      <c r="I31" s="910"/>
    </row>
    <row r="32" spans="1:10">
      <c r="A32">
        <v>262</v>
      </c>
      <c r="B32" s="909">
        <v>44075</v>
      </c>
      <c r="C32" s="232"/>
      <c r="D32" s="232"/>
      <c r="E32" s="232"/>
      <c r="F32" s="232"/>
      <c r="G32" s="232"/>
      <c r="H32" s="232"/>
      <c r="I32" s="910"/>
    </row>
    <row r="33" spans="1:9">
      <c r="A33">
        <v>227</v>
      </c>
      <c r="B33" s="909">
        <v>44075</v>
      </c>
      <c r="C33" s="232"/>
      <c r="D33" s="232"/>
      <c r="E33" s="232"/>
      <c r="F33" s="232"/>
      <c r="G33" s="232"/>
      <c r="H33" s="232"/>
      <c r="I33" s="910"/>
    </row>
    <row r="34" spans="1:9">
      <c r="A34">
        <v>231</v>
      </c>
      <c r="B34" s="909">
        <v>44075</v>
      </c>
      <c r="C34" s="232"/>
      <c r="D34" s="232"/>
      <c r="E34" s="232"/>
      <c r="F34" s="232"/>
      <c r="G34" s="232"/>
      <c r="H34" s="232"/>
      <c r="I34" s="910"/>
    </row>
    <row r="35" spans="1:9">
      <c r="A35">
        <v>216</v>
      </c>
      <c r="B35" s="909">
        <v>44075</v>
      </c>
      <c r="C35" s="232"/>
      <c r="D35" s="232"/>
      <c r="E35" s="232"/>
      <c r="F35" s="232"/>
      <c r="G35" s="232"/>
      <c r="H35" s="232"/>
      <c r="I35" s="910"/>
    </row>
    <row r="36" spans="1:9">
      <c r="A36">
        <v>229</v>
      </c>
      <c r="B36" s="909">
        <v>44075</v>
      </c>
      <c r="C36" s="232"/>
      <c r="D36" s="232"/>
      <c r="E36" s="232"/>
      <c r="F36" s="232"/>
      <c r="G36" s="232"/>
      <c r="H36" s="232"/>
      <c r="I36" s="910"/>
    </row>
    <row r="37" spans="1:9">
      <c r="A37">
        <v>215</v>
      </c>
      <c r="B37" s="909">
        <v>44075</v>
      </c>
      <c r="C37" s="232"/>
      <c r="D37" s="232"/>
      <c r="E37" s="232"/>
      <c r="F37" s="232"/>
      <c r="G37" s="232"/>
      <c r="H37" s="232"/>
      <c r="I37" s="910"/>
    </row>
    <row r="38" spans="1:9">
      <c r="A38">
        <v>224</v>
      </c>
      <c r="B38" s="909">
        <v>44075</v>
      </c>
      <c r="C38" s="232"/>
      <c r="D38" s="232"/>
      <c r="E38" s="232"/>
      <c r="F38" s="232"/>
      <c r="G38" s="232"/>
      <c r="H38" s="232"/>
      <c r="I38" s="910"/>
    </row>
    <row r="39" spans="1:9">
      <c r="A39">
        <v>226</v>
      </c>
      <c r="B39" s="909">
        <v>44075</v>
      </c>
      <c r="C39" s="232"/>
      <c r="D39" s="232"/>
      <c r="E39" s="232"/>
      <c r="F39" s="232"/>
      <c r="G39" s="232"/>
      <c r="H39" s="232"/>
      <c r="I39" s="910"/>
    </row>
    <row r="40" spans="1:9">
      <c r="A40">
        <v>234</v>
      </c>
      <c r="B40" s="909">
        <v>44075</v>
      </c>
      <c r="C40" s="232"/>
      <c r="D40" s="232"/>
      <c r="E40" s="232"/>
      <c r="F40" s="232"/>
      <c r="G40" s="232"/>
      <c r="H40" s="232"/>
      <c r="I40" s="910"/>
    </row>
    <row r="41" spans="1:9">
      <c r="A41">
        <v>223</v>
      </c>
      <c r="B41" s="909">
        <v>44075</v>
      </c>
      <c r="C41" s="232"/>
      <c r="D41" s="232"/>
      <c r="E41" s="232"/>
      <c r="F41" s="232"/>
      <c r="G41" s="232"/>
      <c r="H41" s="232"/>
      <c r="I41" s="910"/>
    </row>
    <row r="42" spans="1:9">
      <c r="A42">
        <v>225</v>
      </c>
      <c r="B42" s="909">
        <v>44075</v>
      </c>
      <c r="C42" s="232"/>
      <c r="D42" s="232"/>
      <c r="E42" s="232"/>
      <c r="F42" s="232"/>
      <c r="G42" s="232"/>
      <c r="H42" s="232"/>
      <c r="I42" s="910"/>
    </row>
    <row r="43" spans="1:9">
      <c r="A43">
        <v>228</v>
      </c>
      <c r="B43" s="909">
        <v>44075</v>
      </c>
      <c r="C43" s="232"/>
      <c r="D43" s="232"/>
      <c r="E43" s="232"/>
      <c r="F43" s="232"/>
      <c r="G43" s="232"/>
      <c r="H43" s="232"/>
      <c r="I43" s="910"/>
    </row>
    <row r="44" spans="1:9">
      <c r="A44">
        <v>220</v>
      </c>
      <c r="B44" s="909">
        <v>44075</v>
      </c>
      <c r="C44" s="232"/>
      <c r="D44" s="232"/>
      <c r="E44" s="232"/>
      <c r="F44" s="232"/>
      <c r="G44" s="232"/>
      <c r="H44" s="232"/>
      <c r="I44" s="910"/>
    </row>
    <row r="45" spans="1:9">
      <c r="A45">
        <v>201</v>
      </c>
      <c r="B45" s="909">
        <v>44136</v>
      </c>
      <c r="C45" s="232"/>
      <c r="D45" s="232"/>
      <c r="E45" s="232"/>
      <c r="F45" s="232"/>
      <c r="G45" s="232"/>
      <c r="H45" s="232"/>
      <c r="I45" s="910"/>
    </row>
    <row r="46" spans="1:9">
      <c r="A46">
        <v>213</v>
      </c>
      <c r="B46" s="909">
        <v>44136</v>
      </c>
      <c r="C46" s="232"/>
      <c r="D46" s="232"/>
      <c r="E46" s="232"/>
      <c r="F46" s="232"/>
      <c r="G46" s="232"/>
      <c r="H46" s="232"/>
      <c r="I46" s="910"/>
    </row>
    <row r="47" spans="1:9">
      <c r="A47">
        <v>219</v>
      </c>
      <c r="B47" s="909">
        <v>44136</v>
      </c>
      <c r="C47" s="232"/>
      <c r="D47" s="232"/>
      <c r="E47" s="232"/>
      <c r="F47" s="232"/>
      <c r="G47" s="232"/>
      <c r="H47" s="232"/>
      <c r="I47" s="910"/>
    </row>
    <row r="48" spans="1:9">
      <c r="A48">
        <v>205</v>
      </c>
      <c r="B48" s="909">
        <v>44136</v>
      </c>
      <c r="C48" s="232"/>
      <c r="D48" s="232"/>
      <c r="E48" s="232"/>
      <c r="F48" s="232"/>
      <c r="G48" s="232"/>
      <c r="H48" s="232"/>
      <c r="I48" s="910"/>
    </row>
    <row r="49" spans="1:10">
      <c r="A49">
        <v>208</v>
      </c>
      <c r="B49" s="909">
        <v>44136</v>
      </c>
      <c r="C49" s="232"/>
      <c r="D49" s="232"/>
      <c r="E49" s="232"/>
      <c r="F49" s="232"/>
      <c r="G49" s="232"/>
      <c r="H49" s="232"/>
      <c r="I49" s="910"/>
    </row>
    <row r="50" spans="1:10">
      <c r="A50">
        <v>263</v>
      </c>
      <c r="B50" s="909">
        <v>44166</v>
      </c>
      <c r="C50" s="232"/>
      <c r="D50" s="232"/>
      <c r="F50" s="232"/>
      <c r="G50" s="232"/>
      <c r="H50" s="232"/>
      <c r="I50" s="910"/>
      <c r="J50" s="232">
        <v>5389974.3136365721</v>
      </c>
    </row>
    <row r="51" spans="1:10">
      <c r="A51">
        <v>217</v>
      </c>
      <c r="B51" s="909">
        <v>44166</v>
      </c>
      <c r="C51" s="232"/>
      <c r="D51" s="232"/>
      <c r="E51" s="232"/>
      <c r="F51" s="232"/>
      <c r="G51" s="232"/>
      <c r="H51" s="232"/>
      <c r="I51" s="910"/>
      <c r="J51" s="232"/>
    </row>
    <row r="52" spans="1:10">
      <c r="A52">
        <v>264</v>
      </c>
      <c r="B52" s="909">
        <v>44166</v>
      </c>
      <c r="C52" s="232"/>
      <c r="D52" s="232"/>
      <c r="F52" s="232"/>
      <c r="G52" s="232"/>
      <c r="H52" s="232"/>
      <c r="I52" s="910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E1" zoomScale="90" zoomScaleNormal="90" workbookViewId="0">
      <selection activeCell="X59" sqref="X59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0" t="s">
        <v>12</v>
      </c>
      <c r="C1" s="931"/>
      <c r="D1" s="931"/>
      <c r="E1" s="932" t="s">
        <v>13</v>
      </c>
      <c r="F1" s="933">
        <f ca="1">LnkTXTIRTEco</f>
        <v>7.1900000000000006E-2</v>
      </c>
    </row>
    <row r="2" spans="2:43" ht="28.5" customHeight="1">
      <c r="B2" s="136" t="str">
        <f>CAPA!C9</f>
        <v>Certrel</v>
      </c>
      <c r="C2" s="70"/>
      <c r="D2" s="70"/>
      <c r="E2" s="83" t="s">
        <v>14</v>
      </c>
      <c r="F2" s="84">
        <f ca="1">LnkTXTIRTTotal</f>
        <v>-3.0800000000000001E-2</v>
      </c>
      <c r="M2" s="85"/>
      <c r="N2" s="86"/>
      <c r="AA2" s="846"/>
      <c r="AB2" s="908"/>
      <c r="AC2" s="846"/>
      <c r="AD2" s="846"/>
    </row>
    <row r="3" spans="2:43" ht="21" customHeight="1">
      <c r="B3" s="934" t="s">
        <v>15</v>
      </c>
      <c r="C3" s="784"/>
      <c r="I3" s="934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5" t="s">
        <v>17</v>
      </c>
      <c r="C5" s="936">
        <v>44152.002</v>
      </c>
      <c r="D5" s="1778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3" t="s">
        <v>27</v>
      </c>
      <c r="T5" s="480" t="s">
        <v>28</v>
      </c>
      <c r="U5" s="71" t="s">
        <v>29</v>
      </c>
      <c r="V5" s="783" t="s">
        <v>30</v>
      </c>
      <c r="AA5" s="68" t="s">
        <v>31</v>
      </c>
      <c r="AB5" s="68" t="s">
        <v>32</v>
      </c>
      <c r="AC5" s="68" t="s">
        <v>20</v>
      </c>
      <c r="AD5" s="846" t="s">
        <v>33</v>
      </c>
      <c r="AE5" s="846" t="s">
        <v>2031</v>
      </c>
      <c r="AI5" s="888" t="s">
        <v>34</v>
      </c>
      <c r="AJ5" s="888" t="s">
        <v>35</v>
      </c>
      <c r="AL5" s="896" t="s">
        <v>36</v>
      </c>
      <c r="AM5" s="896" t="s">
        <v>37</v>
      </c>
      <c r="AO5" s="846" t="s">
        <v>2056</v>
      </c>
      <c r="AP5" s="846" t="s">
        <v>37</v>
      </c>
      <c r="AQ5" s="846" t="s">
        <v>2057</v>
      </c>
    </row>
    <row r="6" spans="2:43" ht="16.5">
      <c r="B6" s="93"/>
      <c r="C6" s="88"/>
      <c r="D6" s="1779"/>
      <c r="E6" s="90"/>
      <c r="F6" s="72"/>
      <c r="G6" s="72"/>
      <c r="H6" s="68" t="str">
        <f>CONCATENATE(W6,J6,L6,O6)</f>
        <v>5697A4Fora pontaPotência</v>
      </c>
      <c r="I6" s="937">
        <v>2022</v>
      </c>
      <c r="J6" s="938" t="s">
        <v>533</v>
      </c>
      <c r="K6" s="938" t="s">
        <v>750</v>
      </c>
      <c r="L6" s="938" t="s">
        <v>2322</v>
      </c>
      <c r="M6" s="938" t="s">
        <v>349</v>
      </c>
      <c r="N6" s="938">
        <v>5369</v>
      </c>
      <c r="O6" s="938" t="s">
        <v>1236</v>
      </c>
      <c r="P6" s="938" t="s">
        <v>751</v>
      </c>
      <c r="Q6" s="939">
        <v>44795</v>
      </c>
      <c r="R6" s="939">
        <v>44785</v>
      </c>
      <c r="S6" s="508" t="s">
        <v>2323</v>
      </c>
      <c r="T6" s="939" t="s">
        <v>2324</v>
      </c>
      <c r="U6" s="938">
        <v>13.88</v>
      </c>
      <c r="V6" s="938">
        <v>111</v>
      </c>
      <c r="W6" s="68">
        <f>VLOOKUP(V6,DescontosTE[[#All],[idsreag supridora]:[codsariSUP]],2,FALSE)</f>
        <v>5697</v>
      </c>
      <c r="AA6" s="847"/>
      <c r="AB6" s="848"/>
      <c r="AC6" s="847"/>
      <c r="AD6" s="847"/>
      <c r="AE6" s="847"/>
      <c r="AI6" s="894"/>
      <c r="AJ6" s="895"/>
      <c r="AL6" s="897" t="s">
        <v>2360</v>
      </c>
      <c r="AM6" s="898">
        <v>0</v>
      </c>
      <c r="AO6" s="1453" t="s">
        <v>2070</v>
      </c>
      <c r="AP6" s="1454">
        <v>0</v>
      </c>
      <c r="AQ6" s="1454"/>
    </row>
    <row r="7" spans="2:43" ht="16.5">
      <c r="B7" s="940" t="s">
        <v>38</v>
      </c>
      <c r="C7" s="941">
        <v>0</v>
      </c>
      <c r="D7" s="1779"/>
      <c r="E7" s="72"/>
      <c r="F7" s="72"/>
      <c r="G7" s="72"/>
      <c r="H7" s="68" t="str">
        <f t="shared" ref="H7:H30" si="0">CONCATENATE(W7,J7,L7,O7)</f>
        <v>5697A4Não se aplicaEnergia</v>
      </c>
      <c r="I7" s="506">
        <v>2022</v>
      </c>
      <c r="J7" s="507" t="s">
        <v>533</v>
      </c>
      <c r="K7" s="507" t="s">
        <v>750</v>
      </c>
      <c r="L7" s="507" t="s">
        <v>1237</v>
      </c>
      <c r="M7" s="507" t="s">
        <v>349</v>
      </c>
      <c r="N7" s="507">
        <v>5369</v>
      </c>
      <c r="O7" s="507" t="s">
        <v>108</v>
      </c>
      <c r="P7" s="507" t="s">
        <v>751</v>
      </c>
      <c r="Q7" s="508">
        <v>44795</v>
      </c>
      <c r="R7" s="508">
        <v>44785</v>
      </c>
      <c r="S7" s="508" t="s">
        <v>2323</v>
      </c>
      <c r="T7" s="508" t="s">
        <v>2324</v>
      </c>
      <c r="U7" s="507">
        <v>12.06</v>
      </c>
      <c r="V7" s="507">
        <v>111</v>
      </c>
      <c r="W7" s="68">
        <f>VLOOKUP(V7,DescontosTE[[#All],[idsreag supridora]:[codsariSUP]],2,FALSE)</f>
        <v>5697</v>
      </c>
      <c r="AA7" s="847"/>
      <c r="AB7" s="848"/>
      <c r="AC7" s="847"/>
      <c r="AD7" s="847"/>
      <c r="AE7" s="847"/>
      <c r="AI7" s="894"/>
      <c r="AJ7" s="895"/>
      <c r="AL7" s="897" t="s">
        <v>2361</v>
      </c>
      <c r="AM7" s="898">
        <v>0</v>
      </c>
      <c r="AO7" s="1453" t="s">
        <v>2071</v>
      </c>
      <c r="AP7" s="1454">
        <v>0</v>
      </c>
      <c r="AQ7" s="1454"/>
    </row>
    <row r="8" spans="2:43" ht="16.5">
      <c r="B8" s="93" t="s">
        <v>39</v>
      </c>
      <c r="C8" s="119">
        <v>0</v>
      </c>
      <c r="D8" s="1779"/>
      <c r="E8" s="72"/>
      <c r="F8" s="72"/>
      <c r="G8" s="72"/>
      <c r="H8" s="68" t="str">
        <f t="shared" si="0"/>
        <v>5697A4PontaPotência</v>
      </c>
      <c r="I8" s="506">
        <v>2022</v>
      </c>
      <c r="J8" s="507" t="s">
        <v>533</v>
      </c>
      <c r="K8" s="507" t="s">
        <v>750</v>
      </c>
      <c r="L8" s="507" t="s">
        <v>891</v>
      </c>
      <c r="M8" s="507" t="s">
        <v>349</v>
      </c>
      <c r="N8" s="507">
        <v>5369</v>
      </c>
      <c r="O8" s="507" t="s">
        <v>1236</v>
      </c>
      <c r="P8" s="507" t="s">
        <v>751</v>
      </c>
      <c r="Q8" s="508">
        <v>44795</v>
      </c>
      <c r="R8" s="508">
        <v>44785</v>
      </c>
      <c r="S8" s="508" t="s">
        <v>2323</v>
      </c>
      <c r="T8" s="508" t="s">
        <v>2324</v>
      </c>
      <c r="U8" s="507">
        <v>24.15</v>
      </c>
      <c r="V8" s="507">
        <v>111</v>
      </c>
      <c r="W8" s="68">
        <f>VLOOKUP(V8,DescontosTE[[#All],[idsreag supridora]:[codsariSUP]],2,FALSE)</f>
        <v>5697</v>
      </c>
      <c r="AI8" s="894"/>
      <c r="AJ8" s="895"/>
      <c r="AL8" s="897" t="s">
        <v>2362</v>
      </c>
      <c r="AM8" s="898">
        <v>0</v>
      </c>
      <c r="AO8" s="1453" t="s">
        <v>2072</v>
      </c>
      <c r="AP8" s="1454">
        <v>0</v>
      </c>
      <c r="AQ8" s="1454"/>
    </row>
    <row r="9" spans="2:43" ht="16.5">
      <c r="B9" s="93" t="s">
        <v>40</v>
      </c>
      <c r="C9" s="119">
        <v>55625.064014916803</v>
      </c>
      <c r="D9" s="1779"/>
      <c r="E9" s="72"/>
      <c r="F9" s="72"/>
      <c r="G9" s="72"/>
      <c r="H9" s="68" t="e">
        <f t="shared" si="0"/>
        <v>#N/A</v>
      </c>
      <c r="I9" s="506"/>
      <c r="J9" s="507"/>
      <c r="K9" s="507"/>
      <c r="L9" s="507"/>
      <c r="M9" s="507"/>
      <c r="N9" s="507"/>
      <c r="O9" s="507"/>
      <c r="P9" s="507"/>
      <c r="Q9" s="508"/>
      <c r="R9" s="508"/>
      <c r="S9" s="508"/>
      <c r="T9" s="508"/>
      <c r="U9" s="507"/>
      <c r="V9" s="507"/>
      <c r="W9" s="68" t="e">
        <f>VLOOKUP(V9,DescontosTE[[#All],[idsreag supridora]:[codsariSUP]],2,FALSE)</f>
        <v>#N/A</v>
      </c>
      <c r="AI9" s="894"/>
      <c r="AJ9" s="895"/>
      <c r="AL9" s="897" t="s">
        <v>2363</v>
      </c>
      <c r="AM9" s="898"/>
      <c r="AO9" s="1453"/>
      <c r="AP9" s="1454"/>
      <c r="AQ9" s="1454" t="s">
        <v>2073</v>
      </c>
    </row>
    <row r="10" spans="2:43" ht="16.5">
      <c r="B10" s="93" t="s">
        <v>41</v>
      </c>
      <c r="C10" s="119">
        <v>2415578.8911799998</v>
      </c>
      <c r="D10" s="1779"/>
      <c r="H10" s="68" t="e">
        <f t="shared" si="0"/>
        <v>#N/A</v>
      </c>
      <c r="I10" s="506"/>
      <c r="J10" s="507"/>
      <c r="K10" s="507"/>
      <c r="L10" s="507"/>
      <c r="M10" s="507"/>
      <c r="N10" s="507"/>
      <c r="O10" s="507"/>
      <c r="P10" s="507"/>
      <c r="Q10" s="508"/>
      <c r="R10" s="508"/>
      <c r="S10" s="508"/>
      <c r="T10" s="508"/>
      <c r="U10" s="507"/>
      <c r="V10" s="507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2" t="s">
        <v>45</v>
      </c>
      <c r="AI10" s="894"/>
      <c r="AJ10" s="895"/>
      <c r="AL10" s="897" t="s">
        <v>2364</v>
      </c>
      <c r="AM10" s="898">
        <v>0</v>
      </c>
    </row>
    <row r="11" spans="2:43" ht="16.5">
      <c r="B11" s="93" t="s">
        <v>46</v>
      </c>
      <c r="C11" s="119">
        <v>0</v>
      </c>
      <c r="D11" s="1779"/>
      <c r="H11" s="68" t="e">
        <f t="shared" si="0"/>
        <v>#N/A</v>
      </c>
      <c r="I11" s="506"/>
      <c r="J11" s="507"/>
      <c r="K11" s="507"/>
      <c r="L11" s="507"/>
      <c r="M11" s="507"/>
      <c r="N11" s="507"/>
      <c r="O11" s="507"/>
      <c r="P11" s="507"/>
      <c r="Q11" s="508"/>
      <c r="R11" s="508"/>
      <c r="S11" s="508"/>
      <c r="T11" s="508"/>
      <c r="U11" s="507"/>
      <c r="V11" s="507"/>
      <c r="W11" s="68" t="e">
        <f>VLOOKUP(V11,DescontosTE[[#All],[idsreag supridora]:[codsariSUP]],2,FALSE)</f>
        <v>#N/A</v>
      </c>
      <c r="AA11" s="847">
        <v>0.87029999999999996</v>
      </c>
      <c r="AB11" s="848">
        <v>195.04</v>
      </c>
      <c r="AC11" s="847">
        <v>14739.74</v>
      </c>
      <c r="AD11" s="847"/>
      <c r="AI11" s="894"/>
      <c r="AJ11" s="895"/>
      <c r="AL11" s="897" t="s">
        <v>2365</v>
      </c>
      <c r="AM11" s="898">
        <v>0</v>
      </c>
    </row>
    <row r="12" spans="2:43" ht="16.5">
      <c r="B12" s="93" t="s">
        <v>47</v>
      </c>
      <c r="C12" s="119">
        <v>409178.82124000002</v>
      </c>
      <c r="D12" s="1779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4"/>
      <c r="AJ12" s="895"/>
      <c r="AL12" s="897" t="s">
        <v>2366</v>
      </c>
      <c r="AM12" s="898">
        <v>0</v>
      </c>
    </row>
    <row r="13" spans="2:43" ht="16.5">
      <c r="B13" s="93" t="s">
        <v>48</v>
      </c>
      <c r="C13" s="119">
        <v>0</v>
      </c>
      <c r="D13" s="1779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4"/>
      <c r="AJ13" s="895"/>
      <c r="AL13" s="897" t="s">
        <v>2367</v>
      </c>
      <c r="AM13" s="898">
        <v>0</v>
      </c>
    </row>
    <row r="14" spans="2:43" ht="16.5">
      <c r="B14" s="93" t="s">
        <v>49</v>
      </c>
      <c r="C14" s="119">
        <v>0</v>
      </c>
      <c r="D14" s="1779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6"/>
      <c r="AB14" s="796"/>
      <c r="AC14" s="796"/>
      <c r="AI14" s="894"/>
      <c r="AJ14" s="895"/>
      <c r="AL14" s="897" t="s">
        <v>2368</v>
      </c>
      <c r="AM14" s="898">
        <v>0</v>
      </c>
    </row>
    <row r="15" spans="2:43" ht="16.5">
      <c r="B15" s="942" t="s">
        <v>2032</v>
      </c>
      <c r="C15" s="943">
        <v>0</v>
      </c>
      <c r="D15" s="1779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0" t="s">
        <v>109</v>
      </c>
      <c r="AB15" s="900" t="s">
        <v>896</v>
      </c>
      <c r="AC15" s="796"/>
      <c r="AI15" s="894"/>
      <c r="AJ15" s="895"/>
      <c r="AL15" s="897"/>
      <c r="AM15" s="898"/>
    </row>
    <row r="16" spans="2:43" ht="16.5">
      <c r="D16" s="1779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7">
        <v>2022</v>
      </c>
      <c r="AB16" s="848">
        <v>762.52146735008182</v>
      </c>
      <c r="AC16" s="846"/>
      <c r="AI16" s="894"/>
      <c r="AJ16" s="895"/>
      <c r="AL16" s="897"/>
      <c r="AM16" s="898"/>
    </row>
    <row r="17" spans="2:42" ht="16.5">
      <c r="B17" s="935" t="s">
        <v>50</v>
      </c>
      <c r="C17" s="944"/>
      <c r="D17" s="1779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4"/>
      <c r="AJ17" s="895"/>
      <c r="AL17" s="853"/>
      <c r="AM17" s="848"/>
    </row>
    <row r="18" spans="2:42" ht="16.5">
      <c r="B18" s="93" t="s">
        <v>51</v>
      </c>
      <c r="C18" s="119">
        <v>0</v>
      </c>
      <c r="D18" s="1779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4"/>
      <c r="AJ18" s="895"/>
      <c r="AL18" s="853"/>
      <c r="AM18" s="848"/>
    </row>
    <row r="19" spans="2:42" ht="16.5">
      <c r="B19" s="93" t="s">
        <v>52</v>
      </c>
      <c r="C19" s="119">
        <v>0</v>
      </c>
      <c r="D19" s="1779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4"/>
      <c r="AJ19" s="895"/>
    </row>
    <row r="20" spans="2:42" ht="16.5">
      <c r="B20" s="93" t="s">
        <v>53</v>
      </c>
      <c r="C20" s="119"/>
      <c r="D20" s="1779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49" t="s">
        <v>54</v>
      </c>
      <c r="AB20" s="849"/>
      <c r="AC20" s="850"/>
      <c r="AD20" s="850"/>
      <c r="AE20" s="850"/>
      <c r="AF20" s="850"/>
      <c r="AG20" s="851"/>
      <c r="AI20" s="853"/>
      <c r="AJ20" s="848"/>
    </row>
    <row r="21" spans="2:42" ht="16.5">
      <c r="B21" s="93" t="s">
        <v>55</v>
      </c>
      <c r="C21" s="119"/>
      <c r="D21" s="1779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79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7"/>
      <c r="AB22" s="848"/>
      <c r="AC22" s="847"/>
      <c r="AD22" s="847"/>
      <c r="AE22" s="848"/>
      <c r="AF22" s="853"/>
      <c r="AG22" s="847"/>
    </row>
    <row r="23" spans="2:42" ht="16.5">
      <c r="B23" s="93" t="s">
        <v>64</v>
      </c>
      <c r="C23" s="119"/>
      <c r="D23" s="1779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7"/>
      <c r="AB23" s="848"/>
      <c r="AC23" s="847"/>
      <c r="AD23" s="847"/>
      <c r="AE23" s="848"/>
      <c r="AF23" s="847"/>
      <c r="AG23" s="847"/>
      <c r="AI23" s="846" t="s">
        <v>2060</v>
      </c>
      <c r="AM23" s="846" t="s">
        <v>2064</v>
      </c>
    </row>
    <row r="24" spans="2:42" ht="16.5">
      <c r="B24" s="93" t="s">
        <v>65</v>
      </c>
      <c r="C24" s="119">
        <v>0</v>
      </c>
      <c r="D24" s="1779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2058</v>
      </c>
      <c r="AJ24" s="68" t="s">
        <v>2059</v>
      </c>
      <c r="AK24" s="68" t="s">
        <v>1413</v>
      </c>
      <c r="AM24" s="68" t="s">
        <v>2061</v>
      </c>
      <c r="AN24" s="68" t="s">
        <v>2062</v>
      </c>
      <c r="AO24" s="68" t="s">
        <v>2063</v>
      </c>
      <c r="AP24" s="68" t="s">
        <v>37</v>
      </c>
    </row>
    <row r="25" spans="2:42" ht="16.5">
      <c r="B25" s="93" t="s">
        <v>66</v>
      </c>
      <c r="C25" s="119">
        <v>4378193.38325</v>
      </c>
      <c r="D25" s="1779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6"/>
      <c r="AE25" s="908"/>
      <c r="AF25" s="846"/>
      <c r="AG25" s="846"/>
      <c r="AI25" s="257" t="s">
        <v>2074</v>
      </c>
      <c r="AJ25" s="257" t="s">
        <v>41</v>
      </c>
      <c r="AK25" s="69">
        <v>-238133.23879233</v>
      </c>
      <c r="AM25" s="1457"/>
      <c r="AN25" s="1457"/>
      <c r="AO25" s="1457"/>
      <c r="AP25" s="1456"/>
    </row>
    <row r="26" spans="2:42" ht="16.5">
      <c r="B26" s="935" t="s">
        <v>67</v>
      </c>
      <c r="C26" s="945">
        <v>13030918.27</v>
      </c>
      <c r="D26" s="1779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0" t="s">
        <v>2065</v>
      </c>
      <c r="AB26" s="900" t="s">
        <v>37</v>
      </c>
      <c r="AD26" s="846"/>
      <c r="AE26" s="908"/>
      <c r="AF26" s="846"/>
      <c r="AG26" s="846"/>
      <c r="AI26" s="257" t="s">
        <v>2074</v>
      </c>
      <c r="AJ26" s="257" t="s">
        <v>47</v>
      </c>
      <c r="AK26" s="69">
        <v>-34869.525382337597</v>
      </c>
      <c r="AM26" s="1457"/>
      <c r="AN26" s="1457"/>
      <c r="AO26" s="1457"/>
      <c r="AP26" s="1456"/>
    </row>
    <row r="27" spans="2:42" ht="16.5">
      <c r="C27" s="69"/>
      <c r="D27" s="1779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7" t="s">
        <v>2067</v>
      </c>
      <c r="AB27" s="848"/>
      <c r="AI27" s="257" t="s">
        <v>2074</v>
      </c>
      <c r="AJ27" s="257" t="s">
        <v>40</v>
      </c>
      <c r="AK27" s="69">
        <v>-4599.6392161624899</v>
      </c>
      <c r="AM27" s="1457"/>
      <c r="AN27" s="1457"/>
      <c r="AO27" s="1457"/>
      <c r="AP27" s="1456"/>
    </row>
    <row r="28" spans="2:42" ht="16.5">
      <c r="B28" s="934" t="s">
        <v>68</v>
      </c>
      <c r="C28" s="946"/>
      <c r="D28" s="1779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7" t="s">
        <v>2068</v>
      </c>
      <c r="AB28" s="848"/>
      <c r="AI28" s="257" t="s">
        <v>2075</v>
      </c>
      <c r="AJ28" s="257" t="s">
        <v>2076</v>
      </c>
      <c r="AK28" s="69">
        <v>0</v>
      </c>
      <c r="AM28" s="1457"/>
      <c r="AN28" s="1457"/>
      <c r="AO28" s="1457"/>
      <c r="AP28" s="1456"/>
    </row>
    <row r="29" spans="2:42" ht="18" customHeight="1">
      <c r="D29" s="1779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7"/>
      <c r="AB29" s="848"/>
      <c r="AI29" s="257" t="s">
        <v>2077</v>
      </c>
      <c r="AJ29" s="257" t="s">
        <v>2078</v>
      </c>
      <c r="AK29" s="69">
        <v>-23424.122161004401</v>
      </c>
      <c r="AM29" s="1457"/>
      <c r="AN29" s="1457"/>
      <c r="AO29" s="1457"/>
      <c r="AP29" s="1456"/>
    </row>
    <row r="30" spans="2:42" ht="16.5">
      <c r="B30" s="947"/>
      <c r="C30" s="948"/>
      <c r="D30" s="1779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7"/>
      <c r="AB30" s="848"/>
      <c r="AI30" s="257" t="s">
        <v>104</v>
      </c>
      <c r="AJ30" s="257"/>
      <c r="AK30" s="69">
        <v>-2315515.5721165701</v>
      </c>
      <c r="AM30" s="1457"/>
      <c r="AN30" s="1457"/>
      <c r="AO30" s="1457"/>
      <c r="AP30" s="1456"/>
    </row>
    <row r="31" spans="2:42">
      <c r="B31" s="653" t="s">
        <v>69</v>
      </c>
      <c r="C31" s="654">
        <v>8.9700000000000002E-2</v>
      </c>
      <c r="D31" s="1780"/>
      <c r="AI31" s="257"/>
      <c r="AJ31" s="257"/>
      <c r="AK31" s="69"/>
      <c r="AM31" s="1457"/>
      <c r="AN31" s="1457"/>
      <c r="AO31" s="1457"/>
      <c r="AP31" s="1456"/>
    </row>
    <row r="32" spans="2:42">
      <c r="B32" s="949" t="s">
        <v>70</v>
      </c>
      <c r="C32" s="950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2177</v>
      </c>
      <c r="AI33" s="257"/>
      <c r="AJ33" s="257"/>
      <c r="AK33" s="69"/>
    </row>
    <row r="34" spans="1:37">
      <c r="B34" s="934"/>
      <c r="C34" s="946"/>
      <c r="AA34" s="68" t="s">
        <v>34</v>
      </c>
      <c r="AB34" s="68" t="s">
        <v>2178</v>
      </c>
      <c r="AC34" s="68" t="s">
        <v>2179</v>
      </c>
      <c r="AD34" s="68" t="s">
        <v>2180</v>
      </c>
      <c r="AI34" s="257"/>
      <c r="AJ34" s="257"/>
      <c r="AK34" s="69"/>
    </row>
    <row r="35" spans="1:37">
      <c r="B35" s="947" t="s">
        <v>41</v>
      </c>
      <c r="C35" s="951">
        <v>2108077.3704000013</v>
      </c>
      <c r="AA35" s="196"/>
      <c r="AB35" s="1569"/>
      <c r="AC35" s="1569"/>
      <c r="AD35" s="1569"/>
      <c r="AI35" s="257"/>
      <c r="AJ35" s="257"/>
      <c r="AK35" s="69"/>
    </row>
    <row r="36" spans="1:37">
      <c r="B36" s="653" t="s">
        <v>47</v>
      </c>
      <c r="C36" s="87">
        <v>293521.26583000016</v>
      </c>
      <c r="AA36" s="196"/>
      <c r="AB36" s="1569"/>
      <c r="AC36" s="1569"/>
      <c r="AD36" s="1569"/>
      <c r="AI36" s="257"/>
      <c r="AJ36" s="257"/>
      <c r="AK36" s="69"/>
    </row>
    <row r="37" spans="1:37">
      <c r="B37" s="949" t="s">
        <v>40</v>
      </c>
      <c r="C37" s="952">
        <v>54708.382025423212</v>
      </c>
      <c r="AA37" s="196"/>
      <c r="AB37" s="1569"/>
      <c r="AC37" s="1569"/>
      <c r="AD37" s="1569"/>
      <c r="AI37" s="257"/>
      <c r="AJ37" s="257"/>
      <c r="AK37" s="69"/>
    </row>
    <row r="38" spans="1:37">
      <c r="AA38" s="196"/>
      <c r="AB38" s="1569"/>
      <c r="AC38" s="1569"/>
      <c r="AD38" s="1569"/>
      <c r="AI38" s="257"/>
      <c r="AJ38" s="257"/>
      <c r="AK38" s="69"/>
    </row>
    <row r="39" spans="1:37">
      <c r="D39" s="89"/>
      <c r="AA39" s="196"/>
      <c r="AB39" s="1569"/>
      <c r="AC39" s="1569"/>
      <c r="AD39" s="1569"/>
      <c r="AI39" s="257"/>
      <c r="AJ39" s="257"/>
      <c r="AK39" s="69"/>
    </row>
    <row r="40" spans="1:37" ht="16.5">
      <c r="B40" s="949"/>
      <c r="C40" s="72"/>
      <c r="D40" s="9"/>
      <c r="E40" s="9" t="s">
        <v>74</v>
      </c>
      <c r="F40" s="9"/>
      <c r="AA40" s="196"/>
      <c r="AB40" s="1569"/>
      <c r="AC40" s="1569"/>
      <c r="AD40" s="1569"/>
      <c r="AI40" s="257"/>
      <c r="AJ40" s="257"/>
      <c r="AK40" s="69"/>
    </row>
    <row r="41" spans="1:37" ht="16.5">
      <c r="A41" s="953">
        <f>DATE(YEAR(B41),MONTH(B41),1)</f>
        <v>44470</v>
      </c>
      <c r="B41" s="939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69"/>
      <c r="AC41" s="1569"/>
      <c r="AD41" s="1569"/>
      <c r="AI41" s="257"/>
      <c r="AJ41" s="257"/>
      <c r="AK41" s="69"/>
    </row>
    <row r="42" spans="1:37" ht="16.5">
      <c r="A42" s="953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3" t="s">
        <v>20</v>
      </c>
      <c r="J42" s="783" t="s">
        <v>21</v>
      </c>
      <c r="K42" s="783"/>
      <c r="L42" s="783" t="s">
        <v>22</v>
      </c>
      <c r="M42" s="783" t="s">
        <v>23</v>
      </c>
      <c r="N42" s="783" t="s">
        <v>24</v>
      </c>
      <c r="O42" s="783" t="s">
        <v>25</v>
      </c>
      <c r="P42" s="783" t="s">
        <v>26</v>
      </c>
      <c r="Q42" s="783" t="s">
        <v>27</v>
      </c>
      <c r="R42" s="783" t="s">
        <v>28</v>
      </c>
      <c r="S42" s="784" t="s">
        <v>29</v>
      </c>
      <c r="T42" s="783" t="s">
        <v>30</v>
      </c>
      <c r="AA42" s="196"/>
      <c r="AB42" s="1569"/>
      <c r="AC42" s="1569"/>
      <c r="AD42" s="1569"/>
      <c r="AI42" s="257"/>
      <c r="AJ42" s="257"/>
      <c r="AK42" s="69"/>
    </row>
    <row r="43" spans="1:37" ht="16.5">
      <c r="A43" s="953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5697A4</v>
      </c>
      <c r="I43" s="506">
        <v>2022</v>
      </c>
      <c r="J43" s="507" t="s">
        <v>533</v>
      </c>
      <c r="K43" s="507" t="s">
        <v>2325</v>
      </c>
      <c r="L43" s="507" t="s">
        <v>1237</v>
      </c>
      <c r="M43" s="507" t="s">
        <v>349</v>
      </c>
      <c r="N43" s="507">
        <v>5369</v>
      </c>
      <c r="O43" s="508">
        <v>44795</v>
      </c>
      <c r="P43" s="508">
        <v>44785</v>
      </c>
      <c r="Q43" s="508" t="s">
        <v>2323</v>
      </c>
      <c r="R43" s="508" t="s">
        <v>2324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/>
      <c r="AB43" s="1569"/>
      <c r="AC43" s="1569"/>
      <c r="AD43" s="1569"/>
      <c r="AI43" s="257"/>
      <c r="AJ43" s="257"/>
      <c r="AK43" s="69"/>
    </row>
    <row r="44" spans="1:37" ht="16.5">
      <c r="A44" s="953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6"/>
      <c r="J44" s="507"/>
      <c r="K44" s="507"/>
      <c r="L44" s="507"/>
      <c r="M44" s="507"/>
      <c r="N44" s="507"/>
      <c r="O44" s="508"/>
      <c r="P44" s="508"/>
      <c r="Q44" s="508"/>
      <c r="R44" s="508"/>
      <c r="S44" s="507"/>
      <c r="T44" s="507"/>
      <c r="U44" s="68" t="e">
        <f>VLOOKUP(T44,DescontosTE[[#All],[idsreag supridora]:[codsariSUP]],2,FALSE)</f>
        <v>#N/A</v>
      </c>
      <c r="AA44" s="196"/>
      <c r="AB44" s="1569"/>
      <c r="AC44" s="1569"/>
      <c r="AD44" s="1569"/>
      <c r="AI44" s="257"/>
      <c r="AJ44" s="257"/>
      <c r="AK44" s="69"/>
    </row>
    <row r="45" spans="1:37" ht="16.5">
      <c r="A45" s="953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3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3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3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3">
        <f t="shared" si="1"/>
        <v>44713</v>
      </c>
      <c r="B49" s="508">
        <v>44718</v>
      </c>
      <c r="C49" s="532">
        <v>247922.10200000001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3">
        <f t="shared" si="1"/>
        <v>44743</v>
      </c>
      <c r="B50" s="508">
        <v>44749</v>
      </c>
      <c r="C50" s="532">
        <v>2.12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2183</v>
      </c>
    </row>
    <row r="51" spans="1:28" ht="16.5">
      <c r="A51" s="953">
        <f t="shared" si="1"/>
        <v>44774</v>
      </c>
      <c r="B51" s="508">
        <v>44781</v>
      </c>
      <c r="C51" s="532">
        <v>0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2181</v>
      </c>
      <c r="AB51" s="68" t="s">
        <v>2182</v>
      </c>
    </row>
    <row r="52" spans="1:28" ht="16.5">
      <c r="A52" s="953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0"/>
    </row>
    <row r="53" spans="1:28" ht="16.5">
      <c r="A53" s="953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255989.7917932058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0"/>
    </row>
    <row r="54" spans="1:28" ht="16.5">
      <c r="A54" s="953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2.1669856609475877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0"/>
    </row>
    <row r="55" spans="1:28" ht="16.5">
      <c r="A55" s="953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0"/>
    </row>
    <row r="56" spans="1:28" ht="16.5">
      <c r="A56" s="953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0"/>
    </row>
    <row r="57" spans="1:28" ht="16.5">
      <c r="A57" s="953">
        <f t="shared" si="1"/>
        <v>1</v>
      </c>
      <c r="B57" s="954"/>
      <c r="C57" s="819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0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0"/>
    </row>
    <row r="59" spans="1:28" ht="16.5">
      <c r="H59" s="68" t="e">
        <f t="shared" si="2"/>
        <v>#N/A</v>
      </c>
      <c r="I59" s="955"/>
      <c r="J59" s="956"/>
      <c r="K59" s="956"/>
      <c r="L59" s="956"/>
      <c r="M59" s="956"/>
      <c r="N59" s="956"/>
      <c r="O59" s="956"/>
      <c r="P59" s="956"/>
      <c r="Q59" s="954"/>
      <c r="R59" s="954"/>
      <c r="S59" s="954"/>
      <c r="T59" s="956"/>
      <c r="U59" s="68" t="e">
        <f>VLOOKUP(T59,DescontosTE[[#All],[idsreag supridora]:[codsariSUP]],2,FALSE)</f>
        <v>#N/A</v>
      </c>
      <c r="AA59" s="196"/>
      <c r="AB59" s="1570"/>
    </row>
    <row r="60" spans="1:28">
      <c r="B60" s="949" t="s">
        <v>75</v>
      </c>
      <c r="C60" s="72"/>
      <c r="AA60" s="196"/>
      <c r="AB60" s="1570"/>
    </row>
    <row r="61" spans="1:28" ht="16.5">
      <c r="B61" s="957" t="s">
        <v>695</v>
      </c>
      <c r="C61" s="820">
        <v>0</v>
      </c>
      <c r="D61" s="68">
        <v>0</v>
      </c>
      <c r="AA61" s="196"/>
      <c r="AB61" s="1570"/>
    </row>
    <row r="62" spans="1:28" ht="16.5">
      <c r="B62" s="690" t="s">
        <v>697</v>
      </c>
      <c r="C62" s="532">
        <v>0</v>
      </c>
      <c r="D62" s="69">
        <v>0</v>
      </c>
      <c r="AA62" s="196"/>
      <c r="AB62" s="1570"/>
    </row>
    <row r="63" spans="1:28" ht="16.5">
      <c r="B63" s="690" t="s">
        <v>699</v>
      </c>
      <c r="C63" s="532">
        <v>0</v>
      </c>
      <c r="D63" s="69">
        <v>0</v>
      </c>
      <c r="AA63" s="196"/>
      <c r="AB63" s="1570"/>
    </row>
    <row r="64" spans="1:28" ht="16.5">
      <c r="B64" s="690" t="s">
        <v>700</v>
      </c>
      <c r="C64" s="532">
        <v>1568.71</v>
      </c>
      <c r="D64" s="69">
        <v>0</v>
      </c>
      <c r="I64" s="68" t="s">
        <v>2176</v>
      </c>
    </row>
    <row r="65" spans="2:16" ht="16.5">
      <c r="B65" s="690" t="s">
        <v>703</v>
      </c>
      <c r="C65" s="532">
        <v>24573.86</v>
      </c>
      <c r="D65" s="69">
        <v>0</v>
      </c>
      <c r="I65" s="68" t="s">
        <v>27</v>
      </c>
      <c r="J65" s="68" t="s">
        <v>2171</v>
      </c>
      <c r="K65" s="68" t="s">
        <v>2172</v>
      </c>
      <c r="L65" s="68" t="s">
        <v>21</v>
      </c>
      <c r="M65" s="68" t="s">
        <v>1121</v>
      </c>
    </row>
    <row r="66" spans="2:16" ht="16.5">
      <c r="B66" s="958" t="s">
        <v>705</v>
      </c>
      <c r="C66" s="819">
        <v>0</v>
      </c>
      <c r="D66" s="69">
        <v>0</v>
      </c>
      <c r="I66" s="68" t="s">
        <v>2356</v>
      </c>
      <c r="J66" s="68">
        <v>5697</v>
      </c>
      <c r="K66" s="1568">
        <v>44469</v>
      </c>
      <c r="L66" s="68" t="s">
        <v>2034</v>
      </c>
      <c r="M66" s="68">
        <v>0.61457499999999998</v>
      </c>
    </row>
    <row r="67" spans="2:16">
      <c r="K67" s="1568"/>
    </row>
    <row r="68" spans="2:16">
      <c r="K68" s="1568"/>
    </row>
    <row r="69" spans="2:16">
      <c r="K69" s="1568"/>
    </row>
    <row r="70" spans="2:16">
      <c r="B70" s="900" t="s">
        <v>72</v>
      </c>
      <c r="C70" s="900" t="s">
        <v>37</v>
      </c>
      <c r="D70" s="900" t="s">
        <v>73</v>
      </c>
      <c r="K70" s="1568"/>
    </row>
    <row r="71" spans="2:16">
      <c r="B71" s="847" t="s">
        <v>49</v>
      </c>
      <c r="C71" s="1455"/>
      <c r="D71" s="848"/>
      <c r="K71" s="1568"/>
    </row>
    <row r="72" spans="2:16">
      <c r="B72" s="847" t="s">
        <v>766</v>
      </c>
      <c r="C72" s="1455"/>
      <c r="D72" s="848"/>
      <c r="K72" s="1568"/>
    </row>
    <row r="73" spans="2:16">
      <c r="B73" s="847" t="s">
        <v>2317</v>
      </c>
      <c r="C73" s="1455"/>
      <c r="D73" s="848"/>
      <c r="K73" s="1568"/>
    </row>
    <row r="74" spans="2:16">
      <c r="B74" s="847" t="s">
        <v>2069</v>
      </c>
      <c r="C74" s="1455"/>
      <c r="D74" s="848"/>
      <c r="K74" s="1568"/>
    </row>
    <row r="75" spans="2:16">
      <c r="B75" s="847" t="s">
        <v>2318</v>
      </c>
      <c r="C75" s="1455"/>
      <c r="D75" s="848"/>
      <c r="K75" s="1568"/>
    </row>
    <row r="76" spans="2:16">
      <c r="B76" s="847" t="s">
        <v>2319</v>
      </c>
      <c r="C76" s="1455">
        <v>0</v>
      </c>
      <c r="D76" s="848"/>
    </row>
    <row r="77" spans="2:16">
      <c r="B77" s="847" t="s">
        <v>2320</v>
      </c>
      <c r="C77" s="1455">
        <v>0</v>
      </c>
      <c r="D77" s="848"/>
    </row>
    <row r="78" spans="2:16">
      <c r="I78" s="68" t="s">
        <v>2175</v>
      </c>
    </row>
    <row r="79" spans="2:16">
      <c r="I79" s="68" t="s">
        <v>27</v>
      </c>
      <c r="J79" s="68" t="s">
        <v>2171</v>
      </c>
      <c r="K79" s="68" t="s">
        <v>2172</v>
      </c>
      <c r="L79" s="68" t="s">
        <v>21</v>
      </c>
      <c r="M79" s="68" t="s">
        <v>22</v>
      </c>
      <c r="N79" s="68" t="s">
        <v>2173</v>
      </c>
      <c r="O79" s="68" t="s">
        <v>2174</v>
      </c>
      <c r="P79" s="68" t="s">
        <v>1121</v>
      </c>
    </row>
    <row r="80" spans="2:16">
      <c r="I80" s="68" t="s">
        <v>2356</v>
      </c>
      <c r="J80" s="68">
        <v>5697</v>
      </c>
      <c r="K80" s="1568">
        <v>44469</v>
      </c>
      <c r="L80" s="68" t="s">
        <v>2034</v>
      </c>
      <c r="M80" s="68" t="s">
        <v>178</v>
      </c>
      <c r="N80" s="68" t="s">
        <v>1235</v>
      </c>
      <c r="O80" s="68" t="s">
        <v>1236</v>
      </c>
      <c r="P80" s="68">
        <v>0</v>
      </c>
    </row>
    <row r="81" spans="2:16">
      <c r="I81" s="68" t="s">
        <v>2356</v>
      </c>
      <c r="J81" s="68">
        <v>5697</v>
      </c>
      <c r="K81" s="1568">
        <v>44469</v>
      </c>
      <c r="L81" s="68" t="s">
        <v>2034</v>
      </c>
      <c r="M81" s="68" t="s">
        <v>180</v>
      </c>
      <c r="N81" s="68" t="s">
        <v>891</v>
      </c>
      <c r="O81" s="68" t="s">
        <v>1236</v>
      </c>
      <c r="P81" s="68">
        <v>0</v>
      </c>
    </row>
    <row r="82" spans="2:16">
      <c r="B82" s="900" t="s">
        <v>693</v>
      </c>
      <c r="C82" s="900" t="s">
        <v>2170</v>
      </c>
      <c r="D82" s="900" t="s">
        <v>37</v>
      </c>
      <c r="I82" s="68" t="s">
        <v>2356</v>
      </c>
      <c r="J82" s="68">
        <v>5697</v>
      </c>
      <c r="K82" s="1568">
        <v>44469</v>
      </c>
      <c r="L82" s="68" t="s">
        <v>2034</v>
      </c>
      <c r="M82" s="68" t="s">
        <v>182</v>
      </c>
      <c r="N82" s="68" t="s">
        <v>1237</v>
      </c>
      <c r="O82" s="68" t="s">
        <v>108</v>
      </c>
      <c r="P82" s="68">
        <v>0</v>
      </c>
    </row>
    <row r="83" spans="2:16">
      <c r="B83" s="847" t="s">
        <v>1434</v>
      </c>
      <c r="C83" s="1455" t="s">
        <v>2357</v>
      </c>
      <c r="D83" s="848">
        <v>118.830004314878</v>
      </c>
      <c r="I83" s="68" t="s">
        <v>2356</v>
      </c>
      <c r="J83" s="68">
        <v>5697</v>
      </c>
      <c r="K83" s="1568">
        <v>44469</v>
      </c>
      <c r="L83" s="68" t="s">
        <v>2034</v>
      </c>
      <c r="M83" s="68" t="s">
        <v>184</v>
      </c>
      <c r="N83" s="68" t="s">
        <v>1237</v>
      </c>
      <c r="O83" s="68" t="s">
        <v>108</v>
      </c>
      <c r="P83" s="68">
        <v>0</v>
      </c>
    </row>
    <row r="84" spans="2:16">
      <c r="B84" s="847" t="s">
        <v>2358</v>
      </c>
      <c r="C84" s="1455" t="s">
        <v>2359</v>
      </c>
      <c r="D84" s="848">
        <v>0</v>
      </c>
      <c r="K84" s="1568"/>
    </row>
    <row r="85" spans="2:16">
      <c r="B85" s="847" t="s">
        <v>1427</v>
      </c>
      <c r="C85" s="1455" t="s">
        <v>2359</v>
      </c>
      <c r="D85" s="848">
        <v>0</v>
      </c>
      <c r="K85" s="1568"/>
    </row>
    <row r="86" spans="2:16">
      <c r="B86" s="847" t="s">
        <v>1426</v>
      </c>
      <c r="C86" s="1455" t="s">
        <v>2359</v>
      </c>
      <c r="D86" s="848">
        <v>8.9700000000000002E-2</v>
      </c>
      <c r="K86" s="1568"/>
    </row>
    <row r="87" spans="2:16">
      <c r="K87" s="1568"/>
    </row>
    <row r="88" spans="2:16">
      <c r="K88" s="1568"/>
    </row>
    <row r="89" spans="2:16">
      <c r="K89" s="1568"/>
    </row>
    <row r="90" spans="2:16">
      <c r="K90" s="1568"/>
    </row>
    <row r="91" spans="2:16">
      <c r="K91" s="1568"/>
    </row>
    <row r="92" spans="2:16">
      <c r="K92" s="1568"/>
    </row>
    <row r="93" spans="2:16">
      <c r="K93" s="1568"/>
    </row>
    <row r="94" spans="2:16">
      <c r="K94" s="1568"/>
    </row>
    <row r="95" spans="2:16">
      <c r="K95" s="1568"/>
    </row>
    <row r="96" spans="2:16">
      <c r="K96" s="1568"/>
    </row>
    <row r="97" spans="2:11">
      <c r="K97" s="1568"/>
    </row>
    <row r="98" spans="2:11">
      <c r="K98" s="1568"/>
    </row>
    <row r="103" spans="2:11" ht="25.5" customHeight="1">
      <c r="B103" s="68" t="s">
        <v>2186</v>
      </c>
      <c r="C103" s="1571" t="s">
        <v>2188</v>
      </c>
      <c r="D103" s="68" t="s">
        <v>2187</v>
      </c>
    </row>
    <row r="104" spans="2:11">
      <c r="B104" s="69">
        <v>13590865.443045003</v>
      </c>
      <c r="C104" s="196">
        <v>44531</v>
      </c>
      <c r="D104" s="68" t="s">
        <v>2321</v>
      </c>
    </row>
    <row r="108" spans="2:11" ht="28.5">
      <c r="B108" s="1571" t="s">
        <v>2184</v>
      </c>
      <c r="C108" s="1571" t="s">
        <v>2185</v>
      </c>
      <c r="D108" s="1571" t="s">
        <v>213</v>
      </c>
      <c r="E108" s="1571" t="s">
        <v>214</v>
      </c>
      <c r="F108" s="1571" t="s">
        <v>2189</v>
      </c>
      <c r="G108" s="1571" t="s">
        <v>2190</v>
      </c>
      <c r="H108" s="1571" t="s">
        <v>2191</v>
      </c>
    </row>
    <row r="109" spans="2:11">
      <c r="B109" s="1571" t="s">
        <v>155</v>
      </c>
      <c r="C109" s="1571">
        <v>111</v>
      </c>
      <c r="D109" s="1571">
        <v>81.509152888329083</v>
      </c>
      <c r="E109" s="1571">
        <v>180.36</v>
      </c>
      <c r="F109" s="1572">
        <v>2315515.5721165724</v>
      </c>
      <c r="G109" s="1573">
        <v>44430</v>
      </c>
      <c r="H109" s="1573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2" workbookViewId="0">
      <selection activeCell="E16" sqref="E16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2161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2162</v>
      </c>
      <c r="H1" t="s">
        <v>2163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2164</v>
      </c>
      <c r="R1" t="s">
        <v>2165</v>
      </c>
      <c r="S1" t="s">
        <v>2166</v>
      </c>
      <c r="T1" t="s">
        <v>2167</v>
      </c>
      <c r="U1" t="s">
        <v>2168</v>
      </c>
      <c r="V1" t="s">
        <v>192</v>
      </c>
      <c r="W1" t="s">
        <v>176</v>
      </c>
      <c r="X1" t="s">
        <v>2169</v>
      </c>
      <c r="AA1" s="232" t="s">
        <v>2192</v>
      </c>
      <c r="AB1" s="232" t="s">
        <v>2193</v>
      </c>
    </row>
    <row r="2" spans="1:28">
      <c r="A2" t="s">
        <v>2369</v>
      </c>
      <c r="B2">
        <v>5369</v>
      </c>
      <c r="C2" t="s">
        <v>2326</v>
      </c>
      <c r="D2">
        <v>5697</v>
      </c>
      <c r="E2" t="s">
        <v>2199</v>
      </c>
      <c r="F2" t="s">
        <v>2034</v>
      </c>
      <c r="G2">
        <v>2022</v>
      </c>
      <c r="H2">
        <v>7</v>
      </c>
      <c r="I2" s="8">
        <v>44743</v>
      </c>
      <c r="J2">
        <v>2987</v>
      </c>
      <c r="K2">
        <v>2250</v>
      </c>
      <c r="L2">
        <v>1071361</v>
      </c>
      <c r="M2">
        <v>105727</v>
      </c>
      <c r="N2">
        <v>1071361</v>
      </c>
      <c r="O2">
        <v>105727</v>
      </c>
      <c r="P2">
        <v>0</v>
      </c>
      <c r="Q2">
        <v>11.83</v>
      </c>
      <c r="R2">
        <v>21.22</v>
      </c>
      <c r="S2">
        <v>14.37</v>
      </c>
      <c r="T2">
        <v>120.75</v>
      </c>
      <c r="U2">
        <v>10353.93</v>
      </c>
      <c r="V2">
        <v>0</v>
      </c>
      <c r="W2">
        <v>0</v>
      </c>
      <c r="X2">
        <v>262124.56</v>
      </c>
      <c r="AA2" s="232">
        <f>J2*Q2+K2*R2+((L2+M2)/1000)*S2</f>
        <v>99995.964559999993</v>
      </c>
      <c r="AB2" s="232">
        <f>((N2+O2)/1000)*T2</f>
        <v>142133.37599999999</v>
      </c>
    </row>
    <row r="3" spans="1:28">
      <c r="A3" t="s">
        <v>2370</v>
      </c>
      <c r="B3">
        <v>5369</v>
      </c>
      <c r="C3" t="s">
        <v>2326</v>
      </c>
      <c r="D3">
        <v>5697</v>
      </c>
      <c r="E3" t="s">
        <v>2199</v>
      </c>
      <c r="F3" t="s">
        <v>2034</v>
      </c>
      <c r="G3">
        <v>2022</v>
      </c>
      <c r="H3">
        <v>7</v>
      </c>
      <c r="I3" s="8">
        <v>44743</v>
      </c>
      <c r="J3">
        <v>2446</v>
      </c>
      <c r="K3">
        <v>1550</v>
      </c>
      <c r="L3">
        <v>766333</v>
      </c>
      <c r="M3">
        <v>54448</v>
      </c>
      <c r="N3">
        <v>766333</v>
      </c>
      <c r="O3">
        <v>54448</v>
      </c>
      <c r="P3">
        <v>0</v>
      </c>
      <c r="Q3">
        <v>11.83</v>
      </c>
      <c r="R3">
        <v>21.22</v>
      </c>
      <c r="S3">
        <v>14.37</v>
      </c>
      <c r="T3">
        <v>120.75</v>
      </c>
      <c r="U3">
        <v>7103.49</v>
      </c>
      <c r="V3">
        <v>0</v>
      </c>
      <c r="W3">
        <v>0</v>
      </c>
      <c r="X3">
        <v>179835.51</v>
      </c>
      <c r="AA3" s="232">
        <f t="shared" ref="AA3:AA66" si="0">J3*Q3+K3*R3+((L3+M3)/1000)*S3</f>
        <v>73621.802970000004</v>
      </c>
      <c r="AB3" s="232">
        <f t="shared" ref="AB3:AB66" si="1">((N3+O3)/1000)*T3</f>
        <v>99109.30575</v>
      </c>
    </row>
    <row r="4" spans="1:28">
      <c r="A4" t="s">
        <v>2371</v>
      </c>
      <c r="B4">
        <v>5369</v>
      </c>
      <c r="C4" t="s">
        <v>2326</v>
      </c>
      <c r="D4">
        <v>5697</v>
      </c>
      <c r="E4" t="s">
        <v>2199</v>
      </c>
      <c r="F4" t="s">
        <v>2034</v>
      </c>
      <c r="G4">
        <v>2022</v>
      </c>
      <c r="H4">
        <v>7</v>
      </c>
      <c r="I4" s="8">
        <v>44743</v>
      </c>
      <c r="J4">
        <v>6505</v>
      </c>
      <c r="K4">
        <v>4000</v>
      </c>
      <c r="L4">
        <v>2104665</v>
      </c>
      <c r="M4">
        <v>124372</v>
      </c>
      <c r="N4">
        <v>2041835</v>
      </c>
      <c r="O4">
        <v>124372</v>
      </c>
      <c r="P4">
        <v>62830</v>
      </c>
      <c r="Q4">
        <v>11.83</v>
      </c>
      <c r="R4">
        <v>21.22</v>
      </c>
      <c r="S4">
        <v>14.37</v>
      </c>
      <c r="T4">
        <v>120.75</v>
      </c>
      <c r="U4">
        <v>18729.46</v>
      </c>
      <c r="V4">
        <v>0</v>
      </c>
      <c r="W4">
        <v>0</v>
      </c>
      <c r="X4">
        <v>474163.86</v>
      </c>
      <c r="AA4" s="232">
        <f t="shared" si="0"/>
        <v>193865.41168999998</v>
      </c>
      <c r="AB4" s="232">
        <f t="shared" si="1"/>
        <v>261569.49524999998</v>
      </c>
    </row>
    <row r="5" spans="1:28">
      <c r="A5" t="s">
        <v>2327</v>
      </c>
      <c r="B5">
        <v>5369</v>
      </c>
      <c r="C5" t="s">
        <v>2326</v>
      </c>
      <c r="D5">
        <v>5697</v>
      </c>
      <c r="E5" t="s">
        <v>2199</v>
      </c>
      <c r="F5" t="s">
        <v>2034</v>
      </c>
      <c r="G5">
        <v>2021</v>
      </c>
      <c r="H5">
        <v>6</v>
      </c>
      <c r="I5" s="8">
        <v>44348</v>
      </c>
      <c r="J5">
        <v>6400</v>
      </c>
      <c r="K5">
        <v>4000</v>
      </c>
      <c r="L5">
        <v>2018763</v>
      </c>
      <c r="M5">
        <v>98674</v>
      </c>
      <c r="N5">
        <v>1952354</v>
      </c>
      <c r="O5">
        <v>98674</v>
      </c>
      <c r="P5">
        <v>66409</v>
      </c>
      <c r="Q5">
        <v>12.33</v>
      </c>
      <c r="R5">
        <v>23.94</v>
      </c>
      <c r="S5">
        <v>10.17</v>
      </c>
      <c r="T5">
        <v>50.99</v>
      </c>
      <c r="U5">
        <v>19915.72</v>
      </c>
      <c r="V5">
        <v>0</v>
      </c>
      <c r="W5">
        <v>0</v>
      </c>
      <c r="X5">
        <v>320703.95</v>
      </c>
      <c r="AA5" s="232">
        <f t="shared" si="0"/>
        <v>196206.33429</v>
      </c>
      <c r="AB5" s="232">
        <f t="shared" si="1"/>
        <v>104581.91772</v>
      </c>
    </row>
    <row r="6" spans="1:28">
      <c r="A6" t="s">
        <v>2328</v>
      </c>
      <c r="B6">
        <v>5369</v>
      </c>
      <c r="C6" t="s">
        <v>2326</v>
      </c>
      <c r="D6">
        <v>5697</v>
      </c>
      <c r="E6" t="s">
        <v>2199</v>
      </c>
      <c r="F6" t="s">
        <v>2034</v>
      </c>
      <c r="G6">
        <v>2021</v>
      </c>
      <c r="H6">
        <v>6</v>
      </c>
      <c r="I6" s="8">
        <v>44348</v>
      </c>
      <c r="J6">
        <v>3415</v>
      </c>
      <c r="K6">
        <v>2317</v>
      </c>
      <c r="L6">
        <v>1194899</v>
      </c>
      <c r="M6">
        <v>108173</v>
      </c>
      <c r="N6">
        <v>1194899</v>
      </c>
      <c r="O6">
        <v>108173</v>
      </c>
      <c r="P6">
        <v>0</v>
      </c>
      <c r="Q6">
        <v>12.33</v>
      </c>
      <c r="R6">
        <v>23.94</v>
      </c>
      <c r="S6">
        <v>10.17</v>
      </c>
      <c r="T6">
        <v>50.99</v>
      </c>
      <c r="U6">
        <v>13091.41</v>
      </c>
      <c r="V6">
        <v>0</v>
      </c>
      <c r="W6">
        <v>0</v>
      </c>
      <c r="X6">
        <v>221920.4</v>
      </c>
      <c r="AA6" s="232">
        <f t="shared" si="0"/>
        <v>110828.17223999999</v>
      </c>
      <c r="AB6" s="232">
        <f t="shared" si="1"/>
        <v>66443.641279999996</v>
      </c>
    </row>
    <row r="7" spans="1:28">
      <c r="A7" t="s">
        <v>2329</v>
      </c>
      <c r="B7">
        <v>5369</v>
      </c>
      <c r="C7" t="s">
        <v>2326</v>
      </c>
      <c r="D7">
        <v>5697</v>
      </c>
      <c r="E7" t="s">
        <v>2199</v>
      </c>
      <c r="F7" t="s">
        <v>2034</v>
      </c>
      <c r="G7">
        <v>2021</v>
      </c>
      <c r="H7">
        <v>6</v>
      </c>
      <c r="I7" s="8">
        <v>44348</v>
      </c>
      <c r="J7">
        <v>2297</v>
      </c>
      <c r="K7">
        <v>1550</v>
      </c>
      <c r="L7">
        <v>723327</v>
      </c>
      <c r="M7">
        <v>48420</v>
      </c>
      <c r="N7">
        <v>723327</v>
      </c>
      <c r="O7">
        <v>48420</v>
      </c>
      <c r="P7">
        <v>0</v>
      </c>
      <c r="Q7">
        <v>12.33</v>
      </c>
      <c r="R7">
        <v>23.94</v>
      </c>
      <c r="S7">
        <v>10.17</v>
      </c>
      <c r="T7">
        <v>50.99</v>
      </c>
      <c r="U7">
        <v>7457.01</v>
      </c>
      <c r="V7">
        <v>0</v>
      </c>
      <c r="W7">
        <v>-6629.4</v>
      </c>
      <c r="X7">
        <v>113451.22</v>
      </c>
      <c r="AA7" s="232">
        <f t="shared" si="0"/>
        <v>73277.676989999993</v>
      </c>
      <c r="AB7" s="232">
        <f t="shared" si="1"/>
        <v>39351.379529999998</v>
      </c>
    </row>
    <row r="8" spans="1:28">
      <c r="A8" t="s">
        <v>2330</v>
      </c>
      <c r="B8">
        <v>5369</v>
      </c>
      <c r="C8" t="s">
        <v>2326</v>
      </c>
      <c r="D8">
        <v>5697</v>
      </c>
      <c r="E8" t="s">
        <v>2199</v>
      </c>
      <c r="F8" t="s">
        <v>2034</v>
      </c>
      <c r="G8">
        <v>2021</v>
      </c>
      <c r="H8">
        <v>7</v>
      </c>
      <c r="I8" s="8">
        <v>44378</v>
      </c>
      <c r="J8">
        <v>2444</v>
      </c>
      <c r="K8">
        <v>1550</v>
      </c>
      <c r="L8">
        <v>751831</v>
      </c>
      <c r="M8">
        <v>49599</v>
      </c>
      <c r="N8">
        <v>751831</v>
      </c>
      <c r="O8">
        <v>49599</v>
      </c>
      <c r="P8">
        <v>0</v>
      </c>
      <c r="Q8">
        <v>12.33</v>
      </c>
      <c r="R8">
        <v>23.94</v>
      </c>
      <c r="S8">
        <v>10.17</v>
      </c>
      <c r="T8">
        <v>50.99</v>
      </c>
      <c r="U8">
        <v>3905.44</v>
      </c>
      <c r="V8">
        <v>0</v>
      </c>
      <c r="W8">
        <v>0</v>
      </c>
      <c r="X8">
        <v>120167.34</v>
      </c>
      <c r="AA8" s="232">
        <f t="shared" si="0"/>
        <v>75392.063099999999</v>
      </c>
      <c r="AB8" s="232">
        <f t="shared" si="1"/>
        <v>40864.915699999998</v>
      </c>
    </row>
    <row r="9" spans="1:28">
      <c r="A9" t="s">
        <v>2331</v>
      </c>
      <c r="B9">
        <v>5369</v>
      </c>
      <c r="C9" t="s">
        <v>2326</v>
      </c>
      <c r="D9">
        <v>5697</v>
      </c>
      <c r="E9" t="s">
        <v>2199</v>
      </c>
      <c r="F9" t="s">
        <v>2034</v>
      </c>
      <c r="G9">
        <v>2021</v>
      </c>
      <c r="H9">
        <v>7</v>
      </c>
      <c r="I9" s="8">
        <v>44378</v>
      </c>
      <c r="J9">
        <v>3797</v>
      </c>
      <c r="K9">
        <v>2488</v>
      </c>
      <c r="L9">
        <v>1273134</v>
      </c>
      <c r="M9">
        <v>113839</v>
      </c>
      <c r="N9">
        <v>1273134</v>
      </c>
      <c r="O9">
        <v>113839</v>
      </c>
      <c r="P9">
        <v>0</v>
      </c>
      <c r="Q9">
        <v>12.33</v>
      </c>
      <c r="R9">
        <v>23.94</v>
      </c>
      <c r="S9">
        <v>10.17</v>
      </c>
      <c r="T9">
        <v>50.99</v>
      </c>
      <c r="U9">
        <v>7805.13</v>
      </c>
      <c r="V9">
        <v>0</v>
      </c>
      <c r="W9">
        <v>0</v>
      </c>
      <c r="X9">
        <v>240157.34</v>
      </c>
      <c r="AA9" s="232">
        <f t="shared" si="0"/>
        <v>120485.24541</v>
      </c>
      <c r="AB9" s="232">
        <f t="shared" si="1"/>
        <v>70721.753270000001</v>
      </c>
    </row>
    <row r="10" spans="1:28">
      <c r="A10" t="s">
        <v>2332</v>
      </c>
      <c r="B10">
        <v>5369</v>
      </c>
      <c r="C10" t="s">
        <v>2326</v>
      </c>
      <c r="D10">
        <v>5697</v>
      </c>
      <c r="E10" t="s">
        <v>2199</v>
      </c>
      <c r="F10" t="s">
        <v>2034</v>
      </c>
      <c r="G10">
        <v>2021</v>
      </c>
      <c r="H10">
        <v>7</v>
      </c>
      <c r="I10" s="8">
        <v>44378</v>
      </c>
      <c r="J10">
        <v>6400</v>
      </c>
      <c r="K10">
        <v>4000</v>
      </c>
      <c r="L10">
        <v>1943985</v>
      </c>
      <c r="M10">
        <v>93859</v>
      </c>
      <c r="N10">
        <v>1879283</v>
      </c>
      <c r="O10">
        <v>93859</v>
      </c>
      <c r="P10">
        <v>64702</v>
      </c>
      <c r="Q10">
        <v>12.33</v>
      </c>
      <c r="R10">
        <v>23.94</v>
      </c>
      <c r="S10">
        <v>10.17</v>
      </c>
      <c r="T10">
        <v>50.99</v>
      </c>
      <c r="U10">
        <v>9943.4</v>
      </c>
      <c r="V10">
        <v>0</v>
      </c>
      <c r="W10">
        <v>0</v>
      </c>
      <c r="X10">
        <v>305950.77</v>
      </c>
      <c r="AA10" s="232">
        <f t="shared" si="0"/>
        <v>195396.87348000001</v>
      </c>
      <c r="AB10" s="232">
        <f t="shared" si="1"/>
        <v>100610.51058</v>
      </c>
    </row>
    <row r="11" spans="1:28">
      <c r="A11" t="s">
        <v>2333</v>
      </c>
      <c r="B11">
        <v>5369</v>
      </c>
      <c r="C11" t="s">
        <v>2326</v>
      </c>
      <c r="D11">
        <v>5697</v>
      </c>
      <c r="E11" t="s">
        <v>2199</v>
      </c>
      <c r="F11" t="s">
        <v>2034</v>
      </c>
      <c r="G11">
        <v>2021</v>
      </c>
      <c r="H11">
        <v>8</v>
      </c>
      <c r="I11" s="8">
        <v>44409</v>
      </c>
      <c r="J11">
        <v>4235</v>
      </c>
      <c r="K11">
        <v>2759</v>
      </c>
      <c r="L11">
        <v>1372219</v>
      </c>
      <c r="M11">
        <v>127593</v>
      </c>
      <c r="N11">
        <v>1372219</v>
      </c>
      <c r="O11">
        <v>127593</v>
      </c>
      <c r="Q11">
        <v>12.33</v>
      </c>
      <c r="R11">
        <v>23.94</v>
      </c>
      <c r="S11">
        <v>10.17</v>
      </c>
      <c r="T11">
        <v>50</v>
      </c>
      <c r="U11">
        <v>495.83</v>
      </c>
      <c r="V11">
        <v>0</v>
      </c>
      <c r="W11">
        <v>0</v>
      </c>
      <c r="X11">
        <v>275458.19</v>
      </c>
      <c r="AA11" s="232">
        <f t="shared" si="0"/>
        <v>133521.09804000001</v>
      </c>
      <c r="AB11" s="232">
        <f t="shared" si="1"/>
        <v>74990.599999999991</v>
      </c>
    </row>
    <row r="12" spans="1:28">
      <c r="A12" t="s">
        <v>2334</v>
      </c>
      <c r="B12">
        <v>5369</v>
      </c>
      <c r="C12" t="s">
        <v>2326</v>
      </c>
      <c r="D12">
        <v>5697</v>
      </c>
      <c r="E12" t="s">
        <v>2199</v>
      </c>
      <c r="F12" t="s">
        <v>2034</v>
      </c>
      <c r="G12">
        <v>2021</v>
      </c>
      <c r="H12">
        <v>8</v>
      </c>
      <c r="I12" s="8">
        <v>44409</v>
      </c>
      <c r="J12">
        <v>2298</v>
      </c>
      <c r="K12">
        <v>1550</v>
      </c>
      <c r="L12">
        <v>749250</v>
      </c>
      <c r="M12">
        <v>53544</v>
      </c>
      <c r="N12">
        <v>749250</v>
      </c>
      <c r="O12">
        <v>53544</v>
      </c>
      <c r="Q12">
        <v>12.33</v>
      </c>
      <c r="R12">
        <v>23.94</v>
      </c>
      <c r="S12">
        <v>10.17</v>
      </c>
      <c r="T12">
        <v>50.99</v>
      </c>
      <c r="U12">
        <v>206.54</v>
      </c>
      <c r="V12">
        <v>0</v>
      </c>
      <c r="W12">
        <v>0</v>
      </c>
      <c r="X12">
        <v>114749.69</v>
      </c>
      <c r="AA12" s="232">
        <f t="shared" si="0"/>
        <v>73605.754979999998</v>
      </c>
      <c r="AB12" s="232">
        <f t="shared" si="1"/>
        <v>40934.466059999999</v>
      </c>
    </row>
    <row r="13" spans="1:28">
      <c r="A13" t="s">
        <v>2335</v>
      </c>
      <c r="B13">
        <v>5369</v>
      </c>
      <c r="C13" t="s">
        <v>2326</v>
      </c>
      <c r="D13">
        <v>5697</v>
      </c>
      <c r="E13" t="s">
        <v>2199</v>
      </c>
      <c r="F13" t="s">
        <v>2034</v>
      </c>
      <c r="G13">
        <v>2021</v>
      </c>
      <c r="H13">
        <v>8</v>
      </c>
      <c r="I13" s="8">
        <v>44409</v>
      </c>
      <c r="J13">
        <v>6400</v>
      </c>
      <c r="K13">
        <v>4000</v>
      </c>
      <c r="L13">
        <v>1936609</v>
      </c>
      <c r="M13">
        <v>95260</v>
      </c>
      <c r="N13">
        <v>1870084</v>
      </c>
      <c r="O13">
        <v>95260</v>
      </c>
      <c r="P13">
        <v>66525</v>
      </c>
      <c r="Q13">
        <v>12.33</v>
      </c>
      <c r="R13">
        <v>23.94</v>
      </c>
      <c r="S13">
        <v>10.17</v>
      </c>
      <c r="T13">
        <v>50.99</v>
      </c>
      <c r="U13">
        <v>532.96</v>
      </c>
      <c r="V13">
        <v>0</v>
      </c>
      <c r="W13">
        <v>0</v>
      </c>
      <c r="X13">
        <v>296081.94</v>
      </c>
      <c r="AA13" s="232">
        <f t="shared" si="0"/>
        <v>195336.10772999999</v>
      </c>
      <c r="AB13" s="232">
        <f t="shared" si="1"/>
        <v>100212.89056</v>
      </c>
    </row>
    <row r="14" spans="1:28">
      <c r="A14" t="s">
        <v>2372</v>
      </c>
      <c r="B14">
        <v>5369</v>
      </c>
      <c r="C14" t="s">
        <v>2326</v>
      </c>
      <c r="D14">
        <v>5697</v>
      </c>
      <c r="E14" t="s">
        <v>2199</v>
      </c>
      <c r="F14" t="s">
        <v>2034</v>
      </c>
      <c r="G14">
        <v>2021</v>
      </c>
      <c r="H14">
        <v>9</v>
      </c>
      <c r="I14" s="8">
        <v>44440</v>
      </c>
      <c r="J14">
        <v>2391</v>
      </c>
      <c r="K14">
        <v>1550</v>
      </c>
      <c r="L14">
        <v>743627</v>
      </c>
      <c r="M14">
        <v>52426</v>
      </c>
      <c r="N14">
        <v>743627</v>
      </c>
      <c r="O14">
        <v>52426</v>
      </c>
      <c r="P14">
        <v>0</v>
      </c>
      <c r="Q14">
        <v>12.33</v>
      </c>
      <c r="R14">
        <v>23.94</v>
      </c>
      <c r="S14">
        <v>10.17</v>
      </c>
      <c r="T14">
        <v>50.99</v>
      </c>
      <c r="U14">
        <v>462.94</v>
      </c>
      <c r="V14">
        <v>0</v>
      </c>
      <c r="W14">
        <v>0</v>
      </c>
      <c r="X14">
        <v>115733.12</v>
      </c>
      <c r="AA14" s="232">
        <f t="shared" si="0"/>
        <v>74683.889009999999</v>
      </c>
      <c r="AB14" s="232">
        <f t="shared" si="1"/>
        <v>40590.742470000005</v>
      </c>
    </row>
    <row r="15" spans="1:28">
      <c r="A15" t="s">
        <v>2373</v>
      </c>
      <c r="B15">
        <v>5369</v>
      </c>
      <c r="C15" t="s">
        <v>2326</v>
      </c>
      <c r="D15">
        <v>5697</v>
      </c>
      <c r="E15" t="s">
        <v>2199</v>
      </c>
      <c r="F15" t="s">
        <v>2034</v>
      </c>
      <c r="G15">
        <v>2021</v>
      </c>
      <c r="H15">
        <v>9</v>
      </c>
      <c r="I15" s="8">
        <v>44440</v>
      </c>
      <c r="J15">
        <v>3076</v>
      </c>
      <c r="K15">
        <v>2196</v>
      </c>
      <c r="L15">
        <v>1123871</v>
      </c>
      <c r="M15">
        <v>112003</v>
      </c>
      <c r="N15">
        <v>1123871</v>
      </c>
      <c r="O15">
        <v>112003</v>
      </c>
      <c r="P15">
        <v>0</v>
      </c>
      <c r="Q15">
        <v>12.33</v>
      </c>
      <c r="R15">
        <v>23.94</v>
      </c>
      <c r="S15">
        <v>10.17</v>
      </c>
      <c r="T15">
        <v>50.99</v>
      </c>
      <c r="U15">
        <v>719.52</v>
      </c>
      <c r="V15">
        <v>0</v>
      </c>
      <c r="W15">
        <v>0</v>
      </c>
      <c r="X15">
        <v>179877.4</v>
      </c>
      <c r="AA15" s="232">
        <f t="shared" si="0"/>
        <v>103068.15858</v>
      </c>
      <c r="AB15" s="232">
        <f t="shared" si="1"/>
        <v>63017.215260000004</v>
      </c>
    </row>
    <row r="16" spans="1:28">
      <c r="A16" t="s">
        <v>2374</v>
      </c>
      <c r="B16">
        <v>5369</v>
      </c>
      <c r="C16" t="s">
        <v>2326</v>
      </c>
      <c r="D16">
        <v>5697</v>
      </c>
      <c r="E16" t="s">
        <v>2199</v>
      </c>
      <c r="F16" t="s">
        <v>2034</v>
      </c>
      <c r="G16">
        <v>2021</v>
      </c>
      <c r="H16">
        <v>9</v>
      </c>
      <c r="I16" s="8">
        <v>44440</v>
      </c>
      <c r="J16">
        <v>6935</v>
      </c>
      <c r="K16">
        <v>4000</v>
      </c>
      <c r="L16">
        <v>2257765</v>
      </c>
      <c r="M16">
        <v>133857</v>
      </c>
      <c r="N16">
        <v>2188530</v>
      </c>
      <c r="O16">
        <v>133857</v>
      </c>
      <c r="P16">
        <v>69235</v>
      </c>
      <c r="Q16">
        <v>12.33</v>
      </c>
      <c r="R16">
        <v>23.94</v>
      </c>
      <c r="S16">
        <v>10.17</v>
      </c>
      <c r="T16">
        <v>50.99</v>
      </c>
      <c r="U16">
        <v>1301.26</v>
      </c>
      <c r="V16">
        <v>0</v>
      </c>
      <c r="W16">
        <v>0</v>
      </c>
      <c r="X16">
        <v>325311.59000000003</v>
      </c>
      <c r="AA16" s="232">
        <f t="shared" si="0"/>
        <v>205591.34573999999</v>
      </c>
      <c r="AB16" s="232">
        <f t="shared" si="1"/>
        <v>118418.51313000001</v>
      </c>
    </row>
    <row r="17" spans="1:28">
      <c r="A17" t="s">
        <v>2375</v>
      </c>
      <c r="B17">
        <v>5369</v>
      </c>
      <c r="C17" t="s">
        <v>2326</v>
      </c>
      <c r="D17">
        <v>5697</v>
      </c>
      <c r="E17" t="s">
        <v>2199</v>
      </c>
      <c r="F17" t="s">
        <v>2034</v>
      </c>
      <c r="G17">
        <v>2021</v>
      </c>
      <c r="H17">
        <v>10</v>
      </c>
      <c r="I17" s="8">
        <v>44470</v>
      </c>
      <c r="J17">
        <v>2342</v>
      </c>
      <c r="K17">
        <v>1550</v>
      </c>
      <c r="L17">
        <v>710835</v>
      </c>
      <c r="M17">
        <v>47693</v>
      </c>
      <c r="N17">
        <v>710835</v>
      </c>
      <c r="O17">
        <v>47693</v>
      </c>
      <c r="P17">
        <v>0</v>
      </c>
      <c r="Q17">
        <v>12.31</v>
      </c>
      <c r="R17">
        <v>23.85</v>
      </c>
      <c r="S17">
        <v>10.31</v>
      </c>
      <c r="T17">
        <v>53.32</v>
      </c>
      <c r="U17">
        <v>4342.3900000000003</v>
      </c>
      <c r="V17">
        <v>0</v>
      </c>
      <c r="W17">
        <v>0</v>
      </c>
      <c r="X17">
        <v>165740.12</v>
      </c>
      <c r="AA17" s="232">
        <f t="shared" si="0"/>
        <v>73617.943680000011</v>
      </c>
      <c r="AB17" s="232">
        <f t="shared" si="1"/>
        <v>40444.712960000004</v>
      </c>
    </row>
    <row r="18" spans="1:28">
      <c r="A18" t="s">
        <v>2376</v>
      </c>
      <c r="B18">
        <v>5369</v>
      </c>
      <c r="C18" t="s">
        <v>2326</v>
      </c>
      <c r="D18">
        <v>5697</v>
      </c>
      <c r="E18" t="s">
        <v>2199</v>
      </c>
      <c r="F18" t="s">
        <v>2034</v>
      </c>
      <c r="G18">
        <v>2021</v>
      </c>
      <c r="H18">
        <v>10</v>
      </c>
      <c r="I18" s="8">
        <v>44470</v>
      </c>
      <c r="J18">
        <v>3098</v>
      </c>
      <c r="K18">
        <v>2250</v>
      </c>
      <c r="L18">
        <v>1072066</v>
      </c>
      <c r="M18">
        <v>103500</v>
      </c>
      <c r="N18">
        <v>1072066</v>
      </c>
      <c r="O18">
        <v>103500</v>
      </c>
      <c r="P18">
        <v>0</v>
      </c>
      <c r="Q18">
        <v>12.31</v>
      </c>
      <c r="R18">
        <v>23.85</v>
      </c>
      <c r="S18">
        <v>10.31</v>
      </c>
      <c r="T18">
        <v>53.32</v>
      </c>
      <c r="U18">
        <v>4815.32</v>
      </c>
      <c r="V18">
        <v>0</v>
      </c>
      <c r="W18">
        <v>0</v>
      </c>
      <c r="X18">
        <v>201239.52</v>
      </c>
      <c r="AA18" s="232">
        <f t="shared" si="0"/>
        <v>103918.96546000001</v>
      </c>
      <c r="AB18" s="232">
        <f t="shared" si="1"/>
        <v>62681.179120000001</v>
      </c>
    </row>
    <row r="19" spans="1:28">
      <c r="A19" t="s">
        <v>2377</v>
      </c>
      <c r="B19">
        <v>5369</v>
      </c>
      <c r="C19" t="s">
        <v>2326</v>
      </c>
      <c r="D19">
        <v>5697</v>
      </c>
      <c r="E19" t="s">
        <v>2199</v>
      </c>
      <c r="F19" t="s">
        <v>2034</v>
      </c>
      <c r="G19">
        <v>2021</v>
      </c>
      <c r="H19">
        <v>10</v>
      </c>
      <c r="I19" s="8">
        <v>44470</v>
      </c>
      <c r="J19">
        <v>6518</v>
      </c>
      <c r="K19">
        <v>4000</v>
      </c>
      <c r="L19">
        <v>2089103</v>
      </c>
      <c r="M19">
        <v>130421</v>
      </c>
      <c r="N19">
        <v>2019883</v>
      </c>
      <c r="O19">
        <v>130421</v>
      </c>
      <c r="P19">
        <v>69220</v>
      </c>
      <c r="Q19">
        <v>12.31</v>
      </c>
      <c r="R19">
        <v>23.85</v>
      </c>
      <c r="S19">
        <v>10.31</v>
      </c>
      <c r="T19">
        <v>53.32</v>
      </c>
      <c r="U19">
        <v>8426.2999999999993</v>
      </c>
      <c r="V19">
        <v>0</v>
      </c>
      <c r="W19">
        <v>0</v>
      </c>
      <c r="X19">
        <v>321614.31</v>
      </c>
      <c r="AA19" s="232">
        <f t="shared" si="0"/>
        <v>198519.87244000001</v>
      </c>
      <c r="AB19" s="232">
        <f t="shared" si="1"/>
        <v>114654.20928000001</v>
      </c>
    </row>
    <row r="20" spans="1:28">
      <c r="A20" t="s">
        <v>2378</v>
      </c>
      <c r="B20">
        <v>5369</v>
      </c>
      <c r="C20" t="s">
        <v>2326</v>
      </c>
      <c r="D20">
        <v>5697</v>
      </c>
      <c r="E20" t="s">
        <v>2199</v>
      </c>
      <c r="F20" t="s">
        <v>2034</v>
      </c>
      <c r="G20">
        <v>2021</v>
      </c>
      <c r="H20">
        <v>11</v>
      </c>
      <c r="I20" s="8">
        <v>44501</v>
      </c>
      <c r="J20">
        <v>6639</v>
      </c>
      <c r="K20">
        <v>4000</v>
      </c>
      <c r="L20">
        <v>2079198</v>
      </c>
      <c r="M20">
        <v>118725</v>
      </c>
      <c r="N20">
        <v>2005496</v>
      </c>
      <c r="O20">
        <v>118725</v>
      </c>
      <c r="P20">
        <v>73702</v>
      </c>
      <c r="Q20">
        <v>11.83</v>
      </c>
      <c r="R20">
        <v>21.22</v>
      </c>
      <c r="S20">
        <v>14.37</v>
      </c>
      <c r="T20">
        <v>120.75</v>
      </c>
      <c r="U20">
        <v>16618.46</v>
      </c>
      <c r="V20">
        <v>0</v>
      </c>
      <c r="W20">
        <v>0</v>
      </c>
      <c r="X20">
        <v>512461.26</v>
      </c>
      <c r="AA20" s="232">
        <f t="shared" si="0"/>
        <v>195003.52351</v>
      </c>
      <c r="AB20" s="232">
        <f t="shared" si="1"/>
        <v>256499.68575</v>
      </c>
    </row>
    <row r="21" spans="1:28">
      <c r="A21" t="s">
        <v>2379</v>
      </c>
      <c r="B21">
        <v>5369</v>
      </c>
      <c r="C21" t="s">
        <v>2326</v>
      </c>
      <c r="D21">
        <v>5697</v>
      </c>
      <c r="E21" t="s">
        <v>2199</v>
      </c>
      <c r="F21" t="s">
        <v>2034</v>
      </c>
      <c r="G21">
        <v>2021</v>
      </c>
      <c r="H21">
        <v>11</v>
      </c>
      <c r="I21" s="8">
        <v>44501</v>
      </c>
      <c r="J21">
        <v>3026</v>
      </c>
      <c r="K21">
        <v>2250</v>
      </c>
      <c r="L21">
        <v>1108262</v>
      </c>
      <c r="M21">
        <v>102166</v>
      </c>
      <c r="N21">
        <v>1108262</v>
      </c>
      <c r="O21">
        <v>102166</v>
      </c>
      <c r="P21">
        <v>0</v>
      </c>
      <c r="Q21">
        <v>11.83</v>
      </c>
      <c r="R21">
        <v>21.22</v>
      </c>
      <c r="S21">
        <v>14.37</v>
      </c>
      <c r="T21">
        <v>120.75</v>
      </c>
      <c r="U21">
        <v>9468.94</v>
      </c>
      <c r="V21">
        <v>0</v>
      </c>
      <c r="W21">
        <v>0</v>
      </c>
      <c r="X21">
        <v>266730.73</v>
      </c>
      <c r="AA21" s="232">
        <f t="shared" si="0"/>
        <v>100936.43036</v>
      </c>
      <c r="AB21" s="232">
        <f t="shared" si="1"/>
        <v>146159.18100000001</v>
      </c>
    </row>
    <row r="22" spans="1:28">
      <c r="A22" t="s">
        <v>2380</v>
      </c>
      <c r="B22">
        <v>5369</v>
      </c>
      <c r="C22" t="s">
        <v>2326</v>
      </c>
      <c r="D22">
        <v>5697</v>
      </c>
      <c r="E22" t="s">
        <v>2199</v>
      </c>
      <c r="F22" t="s">
        <v>2034</v>
      </c>
      <c r="G22">
        <v>2021</v>
      </c>
      <c r="H22">
        <v>11</v>
      </c>
      <c r="I22" s="8">
        <v>44501</v>
      </c>
      <c r="J22">
        <v>2384</v>
      </c>
      <c r="K22">
        <v>1550</v>
      </c>
      <c r="L22">
        <v>725280</v>
      </c>
      <c r="M22">
        <v>46077</v>
      </c>
      <c r="N22">
        <v>725280</v>
      </c>
      <c r="O22">
        <v>46077</v>
      </c>
      <c r="P22">
        <v>0</v>
      </c>
      <c r="Q22">
        <v>11.83</v>
      </c>
      <c r="R22">
        <v>21.22</v>
      </c>
      <c r="S22">
        <v>14.37</v>
      </c>
      <c r="T22">
        <v>120.75</v>
      </c>
      <c r="U22">
        <v>4184.08</v>
      </c>
      <c r="V22">
        <v>0</v>
      </c>
      <c r="W22">
        <v>0</v>
      </c>
      <c r="X22">
        <v>124588.9</v>
      </c>
      <c r="AA22" s="232">
        <f t="shared" si="0"/>
        <v>72178.120089999997</v>
      </c>
      <c r="AB22" s="232">
        <f t="shared" si="1"/>
        <v>93141.357749999996</v>
      </c>
    </row>
    <row r="23" spans="1:28">
      <c r="A23" t="s">
        <v>2381</v>
      </c>
      <c r="B23">
        <v>5369</v>
      </c>
      <c r="C23" t="s">
        <v>2326</v>
      </c>
      <c r="D23">
        <v>5697</v>
      </c>
      <c r="E23" t="s">
        <v>2199</v>
      </c>
      <c r="F23" t="s">
        <v>2034</v>
      </c>
      <c r="G23">
        <v>2021</v>
      </c>
      <c r="H23">
        <v>12</v>
      </c>
      <c r="I23" s="8">
        <v>44531</v>
      </c>
      <c r="J23">
        <v>2559</v>
      </c>
      <c r="K23">
        <v>1550</v>
      </c>
      <c r="L23">
        <v>746302</v>
      </c>
      <c r="M23">
        <v>46832</v>
      </c>
      <c r="N23">
        <v>746302</v>
      </c>
      <c r="O23">
        <v>46832</v>
      </c>
      <c r="P23">
        <v>0</v>
      </c>
      <c r="Q23">
        <v>11.83</v>
      </c>
      <c r="R23">
        <v>21.22</v>
      </c>
      <c r="S23">
        <v>14.37</v>
      </c>
      <c r="T23">
        <v>120.75</v>
      </c>
      <c r="U23">
        <v>4847.88</v>
      </c>
      <c r="V23">
        <v>0</v>
      </c>
      <c r="W23">
        <v>0</v>
      </c>
      <c r="X23">
        <v>129622.03</v>
      </c>
      <c r="AA23" s="232">
        <f t="shared" si="0"/>
        <v>74561.30558</v>
      </c>
      <c r="AB23" s="232">
        <f t="shared" si="1"/>
        <v>95770.930500000002</v>
      </c>
    </row>
    <row r="24" spans="1:28">
      <c r="A24" t="s">
        <v>2382</v>
      </c>
      <c r="B24">
        <v>5369</v>
      </c>
      <c r="C24" t="s">
        <v>2326</v>
      </c>
      <c r="D24">
        <v>5697</v>
      </c>
      <c r="E24" t="s">
        <v>2199</v>
      </c>
      <c r="F24" t="s">
        <v>2034</v>
      </c>
      <c r="G24">
        <v>2021</v>
      </c>
      <c r="H24">
        <v>12</v>
      </c>
      <c r="I24" s="8">
        <v>44531</v>
      </c>
      <c r="J24">
        <v>2992</v>
      </c>
      <c r="K24">
        <v>2250</v>
      </c>
      <c r="L24">
        <v>1076015</v>
      </c>
      <c r="M24">
        <v>98408</v>
      </c>
      <c r="N24">
        <v>1076015</v>
      </c>
      <c r="O24">
        <v>98408</v>
      </c>
      <c r="P24">
        <v>0</v>
      </c>
      <c r="Q24">
        <v>11.83</v>
      </c>
      <c r="R24">
        <v>21.22</v>
      </c>
      <c r="S24">
        <v>14.37</v>
      </c>
      <c r="T24">
        <v>120.75</v>
      </c>
      <c r="U24">
        <v>9762.42</v>
      </c>
      <c r="V24">
        <v>0</v>
      </c>
      <c r="W24">
        <v>0</v>
      </c>
      <c r="X24">
        <v>275199.45</v>
      </c>
      <c r="AA24" s="232">
        <f t="shared" si="0"/>
        <v>100016.81851</v>
      </c>
      <c r="AB24" s="232">
        <f t="shared" si="1"/>
        <v>141811.57725</v>
      </c>
    </row>
    <row r="25" spans="1:28">
      <c r="A25" t="s">
        <v>2383</v>
      </c>
      <c r="B25">
        <v>5369</v>
      </c>
      <c r="C25" t="s">
        <v>2326</v>
      </c>
      <c r="D25">
        <v>5697</v>
      </c>
      <c r="E25" t="s">
        <v>2199</v>
      </c>
      <c r="F25" t="s">
        <v>2034</v>
      </c>
      <c r="G25">
        <v>2021</v>
      </c>
      <c r="H25">
        <v>12</v>
      </c>
      <c r="I25" s="8">
        <v>44531</v>
      </c>
      <c r="J25">
        <v>6935</v>
      </c>
      <c r="K25">
        <v>4000</v>
      </c>
      <c r="L25">
        <v>2101802</v>
      </c>
      <c r="M25">
        <v>121584</v>
      </c>
      <c r="N25">
        <v>2028219</v>
      </c>
      <c r="O25">
        <v>121584</v>
      </c>
      <c r="P25">
        <v>73583</v>
      </c>
      <c r="Q25">
        <v>11.83</v>
      </c>
      <c r="R25">
        <v>21.22</v>
      </c>
      <c r="S25">
        <v>14.37</v>
      </c>
      <c r="T25">
        <v>120.75</v>
      </c>
      <c r="U25">
        <v>17812.59</v>
      </c>
      <c r="V25">
        <v>0</v>
      </c>
      <c r="W25">
        <v>0</v>
      </c>
      <c r="X25">
        <v>476272.86</v>
      </c>
      <c r="AA25" s="232">
        <f t="shared" si="0"/>
        <v>198871.10681999999</v>
      </c>
      <c r="AB25" s="232">
        <f t="shared" si="1"/>
        <v>259588.71224999998</v>
      </c>
    </row>
    <row r="26" spans="1:28">
      <c r="A26" t="s">
        <v>2384</v>
      </c>
      <c r="B26">
        <v>5369</v>
      </c>
      <c r="C26" t="s">
        <v>2326</v>
      </c>
      <c r="D26">
        <v>5697</v>
      </c>
      <c r="E26" t="s">
        <v>2199</v>
      </c>
      <c r="F26" t="s">
        <v>2034</v>
      </c>
      <c r="G26">
        <v>2022</v>
      </c>
      <c r="H26">
        <v>1</v>
      </c>
      <c r="I26" s="8">
        <v>44562</v>
      </c>
      <c r="J26">
        <v>6424</v>
      </c>
      <c r="K26">
        <v>4000</v>
      </c>
      <c r="L26">
        <v>1943282</v>
      </c>
      <c r="M26">
        <v>125653</v>
      </c>
      <c r="N26">
        <v>1876185</v>
      </c>
      <c r="O26">
        <v>125653</v>
      </c>
      <c r="P26">
        <v>67097</v>
      </c>
      <c r="Q26">
        <v>11.83</v>
      </c>
      <c r="R26">
        <v>21.22</v>
      </c>
      <c r="S26">
        <v>14.37</v>
      </c>
      <c r="T26">
        <v>120.75</v>
      </c>
      <c r="U26">
        <v>16797.45</v>
      </c>
      <c r="V26">
        <v>0</v>
      </c>
      <c r="W26">
        <v>0</v>
      </c>
      <c r="X26">
        <v>449129.66</v>
      </c>
      <c r="AA26" s="232">
        <f t="shared" si="0"/>
        <v>190606.51594999997</v>
      </c>
      <c r="AB26" s="232">
        <f t="shared" si="1"/>
        <v>241721.93849999999</v>
      </c>
    </row>
    <row r="27" spans="1:28">
      <c r="A27" t="s">
        <v>2385</v>
      </c>
      <c r="B27">
        <v>5369</v>
      </c>
      <c r="C27" t="s">
        <v>2326</v>
      </c>
      <c r="D27">
        <v>5697</v>
      </c>
      <c r="E27" t="s">
        <v>2199</v>
      </c>
      <c r="F27" t="s">
        <v>2034</v>
      </c>
      <c r="G27">
        <v>2022</v>
      </c>
      <c r="H27">
        <v>1</v>
      </c>
      <c r="I27" s="8">
        <v>44562</v>
      </c>
      <c r="J27">
        <v>3016</v>
      </c>
      <c r="K27">
        <v>2250</v>
      </c>
      <c r="L27">
        <v>951769</v>
      </c>
      <c r="M27">
        <v>107630</v>
      </c>
      <c r="N27">
        <v>951769</v>
      </c>
      <c r="O27">
        <v>107630</v>
      </c>
      <c r="P27">
        <v>0</v>
      </c>
      <c r="Q27">
        <v>11.83</v>
      </c>
      <c r="R27">
        <v>21.22</v>
      </c>
      <c r="S27">
        <v>14.37</v>
      </c>
      <c r="T27">
        <v>120.75</v>
      </c>
      <c r="U27">
        <v>9192.19</v>
      </c>
      <c r="V27">
        <v>0</v>
      </c>
      <c r="W27">
        <v>0</v>
      </c>
      <c r="X27">
        <v>245780.13</v>
      </c>
      <c r="AA27" s="232">
        <f t="shared" si="0"/>
        <v>98647.843629999988</v>
      </c>
      <c r="AB27" s="232">
        <f t="shared" si="1"/>
        <v>127922.42924999999</v>
      </c>
    </row>
    <row r="28" spans="1:28">
      <c r="A28" t="s">
        <v>2386</v>
      </c>
      <c r="B28">
        <v>5369</v>
      </c>
      <c r="C28" t="s">
        <v>2326</v>
      </c>
      <c r="D28">
        <v>5697</v>
      </c>
      <c r="E28" t="s">
        <v>2199</v>
      </c>
      <c r="F28" t="s">
        <v>2034</v>
      </c>
      <c r="G28">
        <v>2022</v>
      </c>
      <c r="H28">
        <v>1</v>
      </c>
      <c r="I28" s="8">
        <v>44562</v>
      </c>
      <c r="J28">
        <v>2460</v>
      </c>
      <c r="K28">
        <v>1550</v>
      </c>
      <c r="L28">
        <v>683321</v>
      </c>
      <c r="M28">
        <v>51368</v>
      </c>
      <c r="N28">
        <v>683321</v>
      </c>
      <c r="O28">
        <v>51368</v>
      </c>
      <c r="P28">
        <v>0</v>
      </c>
      <c r="Q28">
        <v>11.83</v>
      </c>
      <c r="R28">
        <v>21.22</v>
      </c>
      <c r="S28">
        <v>14.37</v>
      </c>
      <c r="T28">
        <v>120.75</v>
      </c>
      <c r="U28">
        <v>4365.8100000000004</v>
      </c>
      <c r="V28">
        <v>0</v>
      </c>
      <c r="W28">
        <v>0</v>
      </c>
      <c r="X28">
        <v>116732.25</v>
      </c>
      <c r="AA28" s="232">
        <f t="shared" si="0"/>
        <v>72550.280930000008</v>
      </c>
      <c r="AB28" s="232">
        <f t="shared" si="1"/>
        <v>88713.696750000003</v>
      </c>
    </row>
    <row r="29" spans="1:28">
      <c r="A29" t="s">
        <v>2387</v>
      </c>
      <c r="B29">
        <v>5369</v>
      </c>
      <c r="C29" t="s">
        <v>2326</v>
      </c>
      <c r="D29">
        <v>5697</v>
      </c>
      <c r="E29" t="s">
        <v>2199</v>
      </c>
      <c r="F29" t="s">
        <v>2034</v>
      </c>
      <c r="G29">
        <v>2022</v>
      </c>
      <c r="H29">
        <v>2</v>
      </c>
      <c r="I29" s="8">
        <v>44593</v>
      </c>
      <c r="J29">
        <v>3212</v>
      </c>
      <c r="K29">
        <v>2330</v>
      </c>
      <c r="L29">
        <v>1140642</v>
      </c>
      <c r="M29">
        <v>109274</v>
      </c>
      <c r="N29">
        <v>1140642</v>
      </c>
      <c r="O29">
        <v>109274</v>
      </c>
      <c r="P29">
        <v>0</v>
      </c>
      <c r="Q29">
        <v>11.83</v>
      </c>
      <c r="R29">
        <v>21.22</v>
      </c>
      <c r="S29">
        <v>14.37</v>
      </c>
      <c r="T29">
        <v>120.75</v>
      </c>
      <c r="U29">
        <v>13454.29</v>
      </c>
      <c r="V29">
        <v>0</v>
      </c>
      <c r="W29">
        <v>0</v>
      </c>
      <c r="X29">
        <v>284445.61</v>
      </c>
      <c r="AA29" s="232">
        <f t="shared" si="0"/>
        <v>105401.85292</v>
      </c>
      <c r="AB29" s="232">
        <f t="shared" si="1"/>
        <v>150927.35699999999</v>
      </c>
    </row>
    <row r="30" spans="1:28">
      <c r="A30" t="s">
        <v>2388</v>
      </c>
      <c r="B30">
        <v>5369</v>
      </c>
      <c r="C30" t="s">
        <v>2326</v>
      </c>
      <c r="D30">
        <v>5697</v>
      </c>
      <c r="E30" t="s">
        <v>2199</v>
      </c>
      <c r="F30" t="s">
        <v>2034</v>
      </c>
      <c r="G30">
        <v>2022</v>
      </c>
      <c r="H30">
        <v>2</v>
      </c>
      <c r="I30" s="8">
        <v>44593</v>
      </c>
      <c r="J30">
        <v>2542</v>
      </c>
      <c r="K30">
        <v>1550</v>
      </c>
      <c r="L30">
        <v>739795</v>
      </c>
      <c r="M30">
        <v>52047</v>
      </c>
      <c r="N30">
        <v>739795</v>
      </c>
      <c r="O30">
        <v>52047</v>
      </c>
      <c r="P30">
        <v>0</v>
      </c>
      <c r="Q30">
        <v>11.83</v>
      </c>
      <c r="R30">
        <v>21.22</v>
      </c>
      <c r="S30">
        <v>14.37</v>
      </c>
      <c r="T30">
        <v>120.75</v>
      </c>
      <c r="U30">
        <v>6160.04</v>
      </c>
      <c r="V30">
        <v>0</v>
      </c>
      <c r="W30">
        <v>0</v>
      </c>
      <c r="X30">
        <v>130233.72</v>
      </c>
      <c r="AA30" s="232">
        <f t="shared" si="0"/>
        <v>74341.629539999994</v>
      </c>
      <c r="AB30" s="232">
        <f t="shared" si="1"/>
        <v>95614.921499999997</v>
      </c>
    </row>
    <row r="31" spans="1:28">
      <c r="A31" t="s">
        <v>2389</v>
      </c>
      <c r="B31">
        <v>5369</v>
      </c>
      <c r="C31" t="s">
        <v>2326</v>
      </c>
      <c r="D31">
        <v>5697</v>
      </c>
      <c r="E31" t="s">
        <v>2199</v>
      </c>
      <c r="F31" t="s">
        <v>2034</v>
      </c>
      <c r="G31">
        <v>2022</v>
      </c>
      <c r="H31">
        <v>2</v>
      </c>
      <c r="I31" s="8">
        <v>44593</v>
      </c>
      <c r="J31">
        <v>6774</v>
      </c>
      <c r="K31">
        <v>4000</v>
      </c>
      <c r="L31">
        <v>2056469</v>
      </c>
      <c r="M31">
        <v>127263</v>
      </c>
      <c r="N31">
        <v>1996958</v>
      </c>
      <c r="O31">
        <v>127263</v>
      </c>
      <c r="P31">
        <v>59511</v>
      </c>
      <c r="Q31">
        <v>11.83</v>
      </c>
      <c r="R31">
        <v>21.22</v>
      </c>
      <c r="S31">
        <v>14.37</v>
      </c>
      <c r="T31">
        <v>120.75</v>
      </c>
      <c r="U31">
        <v>22485.41</v>
      </c>
      <c r="V31">
        <v>0</v>
      </c>
      <c r="W31">
        <v>0</v>
      </c>
      <c r="X31">
        <v>475378.87</v>
      </c>
      <c r="AA31" s="232">
        <f t="shared" si="0"/>
        <v>196396.64883999998</v>
      </c>
      <c r="AB31" s="232">
        <f t="shared" si="1"/>
        <v>256499.68575</v>
      </c>
    </row>
    <row r="32" spans="1:28">
      <c r="A32" t="s">
        <v>2390</v>
      </c>
      <c r="B32">
        <v>5369</v>
      </c>
      <c r="C32" t="s">
        <v>2326</v>
      </c>
      <c r="D32">
        <v>5697</v>
      </c>
      <c r="E32" t="s">
        <v>2199</v>
      </c>
      <c r="F32" t="s">
        <v>2034</v>
      </c>
      <c r="G32">
        <v>2022</v>
      </c>
      <c r="H32">
        <v>3</v>
      </c>
      <c r="I32" s="8">
        <v>44621</v>
      </c>
      <c r="J32">
        <v>6088</v>
      </c>
      <c r="K32">
        <v>4000</v>
      </c>
      <c r="L32">
        <v>1828930</v>
      </c>
      <c r="M32">
        <v>118639</v>
      </c>
      <c r="N32">
        <v>1775631</v>
      </c>
      <c r="O32">
        <v>118639</v>
      </c>
      <c r="P32">
        <v>53299</v>
      </c>
      <c r="Q32">
        <v>11.83</v>
      </c>
      <c r="R32">
        <v>21.22</v>
      </c>
      <c r="S32">
        <v>14.37</v>
      </c>
      <c r="T32">
        <v>120.75</v>
      </c>
      <c r="U32">
        <v>12286.49</v>
      </c>
      <c r="V32">
        <v>0</v>
      </c>
      <c r="W32">
        <v>0</v>
      </c>
      <c r="X32">
        <v>429598.14</v>
      </c>
      <c r="AA32" s="232">
        <f t="shared" si="0"/>
        <v>184887.60652999999</v>
      </c>
      <c r="AB32" s="232">
        <f t="shared" si="1"/>
        <v>228733.10250000001</v>
      </c>
    </row>
    <row r="33" spans="1:28">
      <c r="A33" t="s">
        <v>2391</v>
      </c>
      <c r="B33">
        <v>5369</v>
      </c>
      <c r="C33" t="s">
        <v>2326</v>
      </c>
      <c r="D33">
        <v>5697</v>
      </c>
      <c r="E33" t="s">
        <v>2199</v>
      </c>
      <c r="F33" t="s">
        <v>2034</v>
      </c>
      <c r="G33">
        <v>2022</v>
      </c>
      <c r="H33">
        <v>3</v>
      </c>
      <c r="I33" s="8">
        <v>44621</v>
      </c>
      <c r="J33">
        <v>3174</v>
      </c>
      <c r="K33">
        <v>2334</v>
      </c>
      <c r="L33">
        <v>1060569</v>
      </c>
      <c r="M33">
        <v>103716</v>
      </c>
      <c r="N33">
        <v>1060569</v>
      </c>
      <c r="O33">
        <v>103716</v>
      </c>
      <c r="P33">
        <v>0</v>
      </c>
      <c r="Q33">
        <v>11.83</v>
      </c>
      <c r="R33">
        <v>21.22</v>
      </c>
      <c r="S33">
        <v>14.37</v>
      </c>
      <c r="T33">
        <v>120.75</v>
      </c>
      <c r="U33">
        <v>7595.71</v>
      </c>
      <c r="V33">
        <v>0</v>
      </c>
      <c r="W33">
        <v>0</v>
      </c>
      <c r="X33">
        <v>265584.67</v>
      </c>
      <c r="AA33" s="232">
        <f t="shared" si="0"/>
        <v>103806.67545</v>
      </c>
      <c r="AB33" s="232">
        <f t="shared" si="1"/>
        <v>140587.41375000001</v>
      </c>
    </row>
    <row r="34" spans="1:28">
      <c r="A34" t="s">
        <v>2392</v>
      </c>
      <c r="B34">
        <v>5369</v>
      </c>
      <c r="C34" t="s">
        <v>2326</v>
      </c>
      <c r="D34">
        <v>5697</v>
      </c>
      <c r="E34" t="s">
        <v>2199</v>
      </c>
      <c r="F34" t="s">
        <v>2034</v>
      </c>
      <c r="G34">
        <v>2022</v>
      </c>
      <c r="H34">
        <v>3</v>
      </c>
      <c r="I34" s="8">
        <v>44621</v>
      </c>
      <c r="J34">
        <v>2599</v>
      </c>
      <c r="K34">
        <v>1550</v>
      </c>
      <c r="L34">
        <v>750783</v>
      </c>
      <c r="M34">
        <v>47729</v>
      </c>
      <c r="N34">
        <v>750783</v>
      </c>
      <c r="O34">
        <v>47729</v>
      </c>
      <c r="P34">
        <v>0</v>
      </c>
      <c r="Q34">
        <v>11.83</v>
      </c>
      <c r="R34">
        <v>21.22</v>
      </c>
      <c r="S34">
        <v>14.37</v>
      </c>
      <c r="T34">
        <v>120.75</v>
      </c>
      <c r="U34">
        <v>3727.21</v>
      </c>
      <c r="V34">
        <v>0</v>
      </c>
      <c r="W34">
        <v>0</v>
      </c>
      <c r="X34">
        <v>130321.71</v>
      </c>
      <c r="AA34" s="232">
        <f t="shared" si="0"/>
        <v>75111.78744</v>
      </c>
      <c r="AB34" s="232">
        <f t="shared" si="1"/>
        <v>96420.323999999993</v>
      </c>
    </row>
    <row r="35" spans="1:28">
      <c r="A35" t="s">
        <v>2393</v>
      </c>
      <c r="B35">
        <v>5369</v>
      </c>
      <c r="C35" t="s">
        <v>2326</v>
      </c>
      <c r="D35">
        <v>5697</v>
      </c>
      <c r="E35" t="s">
        <v>2199</v>
      </c>
      <c r="F35" t="s">
        <v>2034</v>
      </c>
      <c r="G35">
        <v>2022</v>
      </c>
      <c r="H35">
        <v>4</v>
      </c>
      <c r="I35" s="8">
        <v>44652</v>
      </c>
      <c r="J35">
        <v>3305</v>
      </c>
      <c r="K35">
        <v>2250</v>
      </c>
      <c r="L35">
        <v>1121474</v>
      </c>
      <c r="M35">
        <v>106312</v>
      </c>
      <c r="N35">
        <v>1121474</v>
      </c>
      <c r="O35">
        <v>106312</v>
      </c>
      <c r="P35">
        <v>0</v>
      </c>
      <c r="Q35">
        <v>11.83</v>
      </c>
      <c r="R35">
        <v>21.22</v>
      </c>
      <c r="S35">
        <v>14.37</v>
      </c>
      <c r="T35">
        <v>120.75</v>
      </c>
      <c r="U35">
        <v>9150.26</v>
      </c>
      <c r="V35">
        <v>0</v>
      </c>
      <c r="W35">
        <v>0</v>
      </c>
      <c r="X35">
        <v>278971.28000000003</v>
      </c>
      <c r="AA35" s="232">
        <f t="shared" si="0"/>
        <v>104486.43481999999</v>
      </c>
      <c r="AB35" s="232">
        <f t="shared" si="1"/>
        <v>148255.15950000001</v>
      </c>
    </row>
    <row r="36" spans="1:28">
      <c r="A36" t="s">
        <v>2394</v>
      </c>
      <c r="B36">
        <v>5369</v>
      </c>
      <c r="C36" t="s">
        <v>2326</v>
      </c>
      <c r="D36">
        <v>5697</v>
      </c>
      <c r="E36" t="s">
        <v>2199</v>
      </c>
      <c r="F36" t="s">
        <v>2034</v>
      </c>
      <c r="G36">
        <v>2022</v>
      </c>
      <c r="H36">
        <v>4</v>
      </c>
      <c r="I36" s="8">
        <v>44652</v>
      </c>
      <c r="J36">
        <v>2533</v>
      </c>
      <c r="K36">
        <v>1550</v>
      </c>
      <c r="L36">
        <v>819299</v>
      </c>
      <c r="M36">
        <v>54491</v>
      </c>
      <c r="N36">
        <v>819299</v>
      </c>
      <c r="O36">
        <v>54491</v>
      </c>
      <c r="P36">
        <v>0</v>
      </c>
      <c r="Q36">
        <v>11.83</v>
      </c>
      <c r="R36">
        <v>21.22</v>
      </c>
      <c r="S36">
        <v>14.37</v>
      </c>
      <c r="T36">
        <v>120.75</v>
      </c>
      <c r="U36">
        <v>3367.05</v>
      </c>
      <c r="V36">
        <v>0</v>
      </c>
      <c r="W36">
        <v>0</v>
      </c>
      <c r="X36">
        <v>133141.97</v>
      </c>
      <c r="AA36" s="232">
        <f t="shared" si="0"/>
        <v>75412.752299999993</v>
      </c>
      <c r="AB36" s="232">
        <f t="shared" si="1"/>
        <v>105510.1425</v>
      </c>
    </row>
    <row r="37" spans="1:28">
      <c r="A37" t="s">
        <v>2395</v>
      </c>
      <c r="B37">
        <v>5369</v>
      </c>
      <c r="C37" t="s">
        <v>2326</v>
      </c>
      <c r="D37">
        <v>5697</v>
      </c>
      <c r="E37" t="s">
        <v>2199</v>
      </c>
      <c r="F37" t="s">
        <v>2034</v>
      </c>
      <c r="G37">
        <v>2022</v>
      </c>
      <c r="H37">
        <v>4</v>
      </c>
      <c r="I37" s="8">
        <v>44652</v>
      </c>
      <c r="J37">
        <v>6377</v>
      </c>
      <c r="K37">
        <v>4000</v>
      </c>
      <c r="L37">
        <v>2302344</v>
      </c>
      <c r="M37">
        <v>136785</v>
      </c>
      <c r="N37">
        <v>2244738</v>
      </c>
      <c r="O37">
        <v>136785</v>
      </c>
      <c r="P37">
        <v>57606</v>
      </c>
      <c r="Q37">
        <v>11.83</v>
      </c>
      <c r="R37">
        <v>21.22</v>
      </c>
      <c r="S37">
        <v>14.37</v>
      </c>
      <c r="T37">
        <v>120.75</v>
      </c>
      <c r="U37">
        <v>16386.830000000002</v>
      </c>
      <c r="V37">
        <v>0</v>
      </c>
      <c r="W37">
        <v>0</v>
      </c>
      <c r="X37">
        <v>499598</v>
      </c>
      <c r="AA37" s="232">
        <f t="shared" si="0"/>
        <v>195370.19373</v>
      </c>
      <c r="AB37" s="232">
        <f t="shared" si="1"/>
        <v>287568.90225000004</v>
      </c>
    </row>
    <row r="38" spans="1:28">
      <c r="A38" t="s">
        <v>2396</v>
      </c>
      <c r="B38">
        <v>5369</v>
      </c>
      <c r="C38" t="s">
        <v>2326</v>
      </c>
      <c r="D38">
        <v>5697</v>
      </c>
      <c r="E38" t="s">
        <v>2199</v>
      </c>
      <c r="F38" t="s">
        <v>2034</v>
      </c>
      <c r="G38">
        <v>2022</v>
      </c>
      <c r="H38">
        <v>5</v>
      </c>
      <c r="I38" s="8">
        <v>44682</v>
      </c>
      <c r="J38">
        <v>2811</v>
      </c>
      <c r="K38">
        <v>2250</v>
      </c>
      <c r="L38">
        <v>1040423</v>
      </c>
      <c r="M38">
        <v>91525</v>
      </c>
      <c r="N38">
        <v>1040423</v>
      </c>
      <c r="O38">
        <v>91525</v>
      </c>
      <c r="P38">
        <v>0</v>
      </c>
      <c r="Q38">
        <v>11.83</v>
      </c>
      <c r="R38">
        <v>21.22</v>
      </c>
      <c r="S38">
        <v>14.37</v>
      </c>
      <c r="T38">
        <v>120.75</v>
      </c>
      <c r="U38">
        <v>5130.74</v>
      </c>
      <c r="V38">
        <v>0</v>
      </c>
      <c r="W38">
        <v>0</v>
      </c>
      <c r="X38">
        <v>250401.09</v>
      </c>
      <c r="AA38" s="232">
        <f t="shared" si="0"/>
        <v>97265.222760000004</v>
      </c>
      <c r="AB38" s="232">
        <f t="shared" si="1"/>
        <v>136682.72100000002</v>
      </c>
    </row>
    <row r="39" spans="1:28">
      <c r="A39" t="s">
        <v>2397</v>
      </c>
      <c r="B39">
        <v>5369</v>
      </c>
      <c r="C39" t="s">
        <v>2326</v>
      </c>
      <c r="D39">
        <v>5697</v>
      </c>
      <c r="E39" t="s">
        <v>2199</v>
      </c>
      <c r="F39" t="s">
        <v>2034</v>
      </c>
      <c r="G39">
        <v>2022</v>
      </c>
      <c r="H39">
        <v>5</v>
      </c>
      <c r="I39" s="8">
        <v>44682</v>
      </c>
      <c r="J39">
        <v>2409</v>
      </c>
      <c r="K39">
        <v>1550</v>
      </c>
      <c r="L39">
        <v>682641</v>
      </c>
      <c r="M39">
        <v>43902</v>
      </c>
      <c r="N39">
        <v>682641</v>
      </c>
      <c r="O39">
        <v>43902</v>
      </c>
      <c r="P39">
        <v>0</v>
      </c>
      <c r="Q39">
        <v>11.83</v>
      </c>
      <c r="R39">
        <v>21.22</v>
      </c>
      <c r="S39">
        <v>14.37</v>
      </c>
      <c r="T39">
        <v>120.75</v>
      </c>
      <c r="U39">
        <v>3489.28</v>
      </c>
      <c r="V39">
        <v>0</v>
      </c>
      <c r="W39">
        <v>0</v>
      </c>
      <c r="X39">
        <v>163050.64000000001</v>
      </c>
      <c r="AA39" s="232">
        <f t="shared" si="0"/>
        <v>71829.892909999995</v>
      </c>
      <c r="AB39" s="232">
        <f t="shared" si="1"/>
        <v>87730.067250000007</v>
      </c>
    </row>
    <row r="40" spans="1:28">
      <c r="A40" t="s">
        <v>2398</v>
      </c>
      <c r="B40">
        <v>5369</v>
      </c>
      <c r="C40" t="s">
        <v>2326</v>
      </c>
      <c r="D40">
        <v>5697</v>
      </c>
      <c r="E40" t="s">
        <v>2199</v>
      </c>
      <c r="F40" t="s">
        <v>2034</v>
      </c>
      <c r="G40">
        <v>2022</v>
      </c>
      <c r="H40">
        <v>5</v>
      </c>
      <c r="I40" s="8">
        <v>44682</v>
      </c>
      <c r="J40">
        <v>6400</v>
      </c>
      <c r="K40">
        <v>4000</v>
      </c>
      <c r="L40">
        <v>2038663</v>
      </c>
      <c r="M40">
        <v>114812</v>
      </c>
      <c r="N40">
        <v>1983236</v>
      </c>
      <c r="O40">
        <v>114812</v>
      </c>
      <c r="P40">
        <v>55427</v>
      </c>
      <c r="Q40">
        <v>11.83</v>
      </c>
      <c r="R40">
        <v>21.22</v>
      </c>
      <c r="S40">
        <v>14.37</v>
      </c>
      <c r="T40">
        <v>120.75</v>
      </c>
      <c r="U40">
        <v>9728.56</v>
      </c>
      <c r="V40">
        <v>0</v>
      </c>
      <c r="W40">
        <v>0</v>
      </c>
      <c r="X40">
        <v>454605.26</v>
      </c>
      <c r="AA40" s="232">
        <f t="shared" si="0"/>
        <v>191537.43575</v>
      </c>
      <c r="AB40" s="232">
        <f t="shared" si="1"/>
        <v>253339.29599999997</v>
      </c>
    </row>
    <row r="41" spans="1:28">
      <c r="A41" t="s">
        <v>2399</v>
      </c>
      <c r="B41">
        <v>5369</v>
      </c>
      <c r="C41" t="s">
        <v>2326</v>
      </c>
      <c r="D41">
        <v>5697</v>
      </c>
      <c r="E41" t="s">
        <v>2199</v>
      </c>
      <c r="F41" t="s">
        <v>2034</v>
      </c>
      <c r="G41">
        <v>2022</v>
      </c>
      <c r="H41">
        <v>6</v>
      </c>
      <c r="I41" s="8">
        <v>44713</v>
      </c>
      <c r="J41">
        <v>7177</v>
      </c>
      <c r="K41">
        <v>4000</v>
      </c>
      <c r="L41">
        <v>2173184</v>
      </c>
      <c r="M41">
        <v>135270</v>
      </c>
      <c r="N41">
        <v>2110311</v>
      </c>
      <c r="O41">
        <v>135270</v>
      </c>
      <c r="P41">
        <v>62873</v>
      </c>
      <c r="Q41">
        <v>11.83</v>
      </c>
      <c r="R41">
        <v>21.22</v>
      </c>
      <c r="S41">
        <v>14.37</v>
      </c>
      <c r="T41">
        <v>120.75</v>
      </c>
      <c r="U41">
        <v>16018.08</v>
      </c>
      <c r="V41">
        <v>0</v>
      </c>
      <c r="W41">
        <v>0</v>
      </c>
      <c r="X41">
        <v>508510.75</v>
      </c>
      <c r="AA41" s="232">
        <f t="shared" si="0"/>
        <v>202956.39397999999</v>
      </c>
      <c r="AB41" s="232">
        <f t="shared" si="1"/>
        <v>271153.90575000003</v>
      </c>
    </row>
    <row r="42" spans="1:28">
      <c r="A42" t="s">
        <v>2400</v>
      </c>
      <c r="B42">
        <v>5369</v>
      </c>
      <c r="C42" t="s">
        <v>2326</v>
      </c>
      <c r="D42">
        <v>5697</v>
      </c>
      <c r="E42" t="s">
        <v>2199</v>
      </c>
      <c r="F42" t="s">
        <v>2034</v>
      </c>
      <c r="G42">
        <v>2022</v>
      </c>
      <c r="H42">
        <v>6</v>
      </c>
      <c r="I42" s="8">
        <v>44713</v>
      </c>
      <c r="J42">
        <v>2856</v>
      </c>
      <c r="K42">
        <v>2250</v>
      </c>
      <c r="L42">
        <v>1047697</v>
      </c>
      <c r="M42">
        <v>103268</v>
      </c>
      <c r="N42">
        <v>1047697</v>
      </c>
      <c r="O42">
        <v>103268</v>
      </c>
      <c r="P42">
        <v>0</v>
      </c>
      <c r="Q42">
        <v>11.83</v>
      </c>
      <c r="R42">
        <v>21.22</v>
      </c>
      <c r="S42">
        <v>14.37</v>
      </c>
      <c r="T42">
        <v>120.75</v>
      </c>
      <c r="U42">
        <v>7727.67</v>
      </c>
      <c r="V42">
        <v>0</v>
      </c>
      <c r="W42">
        <v>0</v>
      </c>
      <c r="X42">
        <v>245322.95</v>
      </c>
      <c r="AA42" s="232">
        <f t="shared" si="0"/>
        <v>98070.847050000011</v>
      </c>
      <c r="AB42" s="232">
        <f t="shared" si="1"/>
        <v>138979.02374999999</v>
      </c>
    </row>
    <row r="43" spans="1:28">
      <c r="A43" t="s">
        <v>2401</v>
      </c>
      <c r="B43">
        <v>5369</v>
      </c>
      <c r="C43" t="s">
        <v>2326</v>
      </c>
      <c r="D43">
        <v>5697</v>
      </c>
      <c r="E43" t="s">
        <v>2199</v>
      </c>
      <c r="F43" t="s">
        <v>2034</v>
      </c>
      <c r="G43">
        <v>2022</v>
      </c>
      <c r="H43">
        <v>6</v>
      </c>
      <c r="I43" s="8">
        <v>44713</v>
      </c>
      <c r="J43">
        <v>2463</v>
      </c>
      <c r="K43">
        <v>1550</v>
      </c>
      <c r="L43">
        <v>736488</v>
      </c>
      <c r="M43">
        <v>55781</v>
      </c>
      <c r="N43">
        <v>736488</v>
      </c>
      <c r="O43">
        <v>55781</v>
      </c>
      <c r="P43">
        <v>0</v>
      </c>
      <c r="Q43">
        <v>11.83</v>
      </c>
      <c r="R43">
        <v>21.22</v>
      </c>
      <c r="S43">
        <v>14.37</v>
      </c>
      <c r="T43">
        <v>120.75</v>
      </c>
      <c r="U43">
        <v>5499.17</v>
      </c>
      <c r="V43">
        <v>0</v>
      </c>
      <c r="W43">
        <v>0</v>
      </c>
      <c r="X43">
        <v>174577.41</v>
      </c>
      <c r="AA43" s="232">
        <f t="shared" si="0"/>
        <v>73413.195529999997</v>
      </c>
      <c r="AB43" s="232">
        <f t="shared" si="1"/>
        <v>95666.481750000006</v>
      </c>
    </row>
    <row r="44" spans="1:28">
      <c r="A44" t="s">
        <v>2402</v>
      </c>
      <c r="B44">
        <v>5369</v>
      </c>
      <c r="C44" t="s">
        <v>2326</v>
      </c>
      <c r="D44">
        <v>5697</v>
      </c>
      <c r="E44" t="s">
        <v>2199</v>
      </c>
      <c r="F44" t="s">
        <v>2034</v>
      </c>
      <c r="G44">
        <v>2022</v>
      </c>
      <c r="H44">
        <v>8</v>
      </c>
      <c r="I44" s="8">
        <v>44774</v>
      </c>
      <c r="J44">
        <v>2930</v>
      </c>
      <c r="K44">
        <v>2250</v>
      </c>
      <c r="L44">
        <v>1067754</v>
      </c>
      <c r="M44">
        <v>106296</v>
      </c>
      <c r="N44">
        <v>1067754</v>
      </c>
      <c r="O44">
        <v>106296</v>
      </c>
      <c r="P44">
        <v>0</v>
      </c>
      <c r="Q44">
        <v>11.83</v>
      </c>
      <c r="R44">
        <v>21.22</v>
      </c>
      <c r="S44">
        <v>14.37</v>
      </c>
      <c r="T44">
        <v>120.75</v>
      </c>
      <c r="U44">
        <v>13137.18</v>
      </c>
      <c r="V44">
        <v>0</v>
      </c>
      <c r="W44">
        <v>0</v>
      </c>
      <c r="X44">
        <v>262219.21000000002</v>
      </c>
      <c r="AA44" s="232">
        <f t="shared" si="0"/>
        <v>99277.998499999987</v>
      </c>
      <c r="AB44" s="232">
        <f t="shared" si="1"/>
        <v>141766.53750000001</v>
      </c>
    </row>
    <row r="45" spans="1:28">
      <c r="A45" t="s">
        <v>2403</v>
      </c>
      <c r="B45">
        <v>5369</v>
      </c>
      <c r="C45" t="s">
        <v>2326</v>
      </c>
      <c r="D45">
        <v>5697</v>
      </c>
      <c r="E45" t="s">
        <v>2199</v>
      </c>
      <c r="F45" t="s">
        <v>2034</v>
      </c>
      <c r="G45">
        <v>2022</v>
      </c>
      <c r="H45">
        <v>8</v>
      </c>
      <c r="I45" s="8">
        <v>44774</v>
      </c>
      <c r="J45">
        <v>6400</v>
      </c>
      <c r="K45">
        <v>4000</v>
      </c>
      <c r="L45">
        <v>1904733</v>
      </c>
      <c r="M45">
        <v>123073</v>
      </c>
      <c r="N45">
        <v>1839634</v>
      </c>
      <c r="O45">
        <v>123073</v>
      </c>
      <c r="P45">
        <v>65099</v>
      </c>
      <c r="Q45">
        <v>11.83</v>
      </c>
      <c r="R45">
        <v>21.22</v>
      </c>
      <c r="S45">
        <v>14.37</v>
      </c>
      <c r="T45">
        <v>120.75</v>
      </c>
      <c r="U45">
        <v>22506.69</v>
      </c>
      <c r="V45">
        <v>0</v>
      </c>
      <c r="W45">
        <v>0</v>
      </c>
      <c r="X45">
        <v>449235.11</v>
      </c>
      <c r="AA45" s="232">
        <f t="shared" si="0"/>
        <v>189731.57222</v>
      </c>
      <c r="AB45" s="232">
        <f t="shared" si="1"/>
        <v>236996.87025000001</v>
      </c>
    </row>
    <row r="46" spans="1:28">
      <c r="A46" t="s">
        <v>2404</v>
      </c>
      <c r="B46">
        <v>5369</v>
      </c>
      <c r="C46" t="s">
        <v>2326</v>
      </c>
      <c r="D46">
        <v>5697</v>
      </c>
      <c r="E46" t="s">
        <v>2199</v>
      </c>
      <c r="F46" t="s">
        <v>2034</v>
      </c>
      <c r="G46">
        <v>2022</v>
      </c>
      <c r="H46">
        <v>8</v>
      </c>
      <c r="I46" s="8">
        <v>44774</v>
      </c>
      <c r="J46">
        <v>2522</v>
      </c>
      <c r="K46">
        <v>1550</v>
      </c>
      <c r="L46">
        <v>743953</v>
      </c>
      <c r="M46">
        <v>53158</v>
      </c>
      <c r="N46">
        <v>743953</v>
      </c>
      <c r="O46">
        <v>53158</v>
      </c>
      <c r="P46">
        <v>0</v>
      </c>
      <c r="Q46">
        <v>11.83</v>
      </c>
      <c r="R46">
        <v>21.22</v>
      </c>
      <c r="S46">
        <v>14.37</v>
      </c>
      <c r="T46">
        <v>120.75</v>
      </c>
      <c r="U46">
        <v>9327.81</v>
      </c>
      <c r="V46">
        <v>0</v>
      </c>
      <c r="W46">
        <v>0</v>
      </c>
      <c r="X46">
        <v>186183.84</v>
      </c>
      <c r="AA46" s="232">
        <f t="shared" si="0"/>
        <v>74180.74506999999</v>
      </c>
      <c r="AB46" s="232">
        <f t="shared" si="1"/>
        <v>96251.153250000003</v>
      </c>
    </row>
    <row r="47" spans="1:28">
      <c r="AA47" s="232">
        <f t="shared" si="0"/>
        <v>0</v>
      </c>
      <c r="AB47" s="232">
        <f t="shared" si="1"/>
        <v>0</v>
      </c>
    </row>
    <row r="48" spans="1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674"/>
  <sheetViews>
    <sheetView topLeftCell="C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1" t="s">
        <v>169</v>
      </c>
      <c r="K1" s="721" t="s">
        <v>175</v>
      </c>
      <c r="L1" s="721" t="s">
        <v>174</v>
      </c>
      <c r="M1" s="721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5369</v>
      </c>
      <c r="B2" t="s">
        <v>2326</v>
      </c>
      <c r="C2">
        <v>5697</v>
      </c>
      <c r="D2" t="s">
        <v>2199</v>
      </c>
      <c r="E2" t="s">
        <v>2034</v>
      </c>
      <c r="F2">
        <v>202207</v>
      </c>
      <c r="G2" t="s">
        <v>190</v>
      </c>
      <c r="H2">
        <v>1071361</v>
      </c>
      <c r="J2" s="722">
        <f>CAPA!K12</f>
        <v>5369</v>
      </c>
      <c r="K2" s="722" t="s">
        <v>177</v>
      </c>
      <c r="L2" s="722" t="str">
        <f>"&gt;="&amp;K6</f>
        <v>&gt;=202109</v>
      </c>
      <c r="M2" s="722" t="str">
        <f>"&lt;="&amp;K7</f>
        <v>&lt;=202208</v>
      </c>
      <c r="O2">
        <v>5369</v>
      </c>
      <c r="P2" t="s">
        <v>2326</v>
      </c>
      <c r="Q2">
        <v>5697</v>
      </c>
      <c r="R2" t="s">
        <v>2199</v>
      </c>
      <c r="S2" t="s">
        <v>2034</v>
      </c>
      <c r="T2">
        <v>202207</v>
      </c>
      <c r="U2" t="s">
        <v>190</v>
      </c>
      <c r="V2">
        <v>1071361</v>
      </c>
      <c r="X2">
        <v>5697</v>
      </c>
      <c r="Y2" t="s">
        <v>2199</v>
      </c>
      <c r="Z2" t="s">
        <v>2034</v>
      </c>
      <c r="AB2">
        <v>5697</v>
      </c>
      <c r="AC2" t="s">
        <v>2199</v>
      </c>
      <c r="AD2" t="s">
        <v>2034</v>
      </c>
      <c r="AE2" t="s">
        <v>178</v>
      </c>
      <c r="AH2">
        <v>5697</v>
      </c>
      <c r="AI2">
        <f>_xlfn.MAXIFS(F:F,C:C,AH2)</f>
        <v>202208</v>
      </c>
      <c r="AJ2">
        <f>IFERROR(ROUND((DATE(ROUND($K$7/100,0),$K$7-ROUND($K$7/100,0)*100,1)-DATE(ROUND(AI2/100,0),AI2-ROUND(AI2/100,0)*100,1))/30,0),"Nada")</f>
        <v>0</v>
      </c>
    </row>
    <row r="3" spans="1:36">
      <c r="A3">
        <v>5369</v>
      </c>
      <c r="B3" t="s">
        <v>2326</v>
      </c>
      <c r="C3">
        <v>5697</v>
      </c>
      <c r="D3" t="s">
        <v>2199</v>
      </c>
      <c r="E3" t="s">
        <v>2034</v>
      </c>
      <c r="F3">
        <v>202207</v>
      </c>
      <c r="G3" t="s">
        <v>191</v>
      </c>
      <c r="H3">
        <v>105727</v>
      </c>
      <c r="J3" s="722">
        <f>J2</f>
        <v>5369</v>
      </c>
      <c r="K3" s="722" t="s">
        <v>179</v>
      </c>
      <c r="L3" s="722" t="str">
        <f>L2</f>
        <v>&gt;=202109</v>
      </c>
      <c r="M3" s="722" t="str">
        <f>M2</f>
        <v>&lt;=202208</v>
      </c>
      <c r="O3">
        <v>5369</v>
      </c>
      <c r="P3" t="s">
        <v>2326</v>
      </c>
      <c r="Q3">
        <v>5697</v>
      </c>
      <c r="R3" t="s">
        <v>2199</v>
      </c>
      <c r="S3" t="s">
        <v>2034</v>
      </c>
      <c r="T3">
        <v>202207</v>
      </c>
      <c r="U3" t="s">
        <v>191</v>
      </c>
      <c r="V3">
        <v>105727</v>
      </c>
      <c r="AB3">
        <v>5697</v>
      </c>
      <c r="AC3" t="s">
        <v>2199</v>
      </c>
      <c r="AD3" t="s">
        <v>2034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5369</v>
      </c>
      <c r="B4" t="s">
        <v>2326</v>
      </c>
      <c r="C4">
        <v>5697</v>
      </c>
      <c r="D4" t="s">
        <v>2199</v>
      </c>
      <c r="E4" t="s">
        <v>2034</v>
      </c>
      <c r="F4">
        <v>202207</v>
      </c>
      <c r="G4" t="s">
        <v>176</v>
      </c>
      <c r="H4">
        <v>0</v>
      </c>
      <c r="J4" s="724">
        <f>J3</f>
        <v>5369</v>
      </c>
      <c r="K4" s="722" t="s">
        <v>181</v>
      </c>
      <c r="L4" s="723" t="str">
        <f>L2</f>
        <v>&gt;=202109</v>
      </c>
      <c r="M4" s="723" t="str">
        <f>M2</f>
        <v>&lt;=202208</v>
      </c>
      <c r="O4">
        <v>5369</v>
      </c>
      <c r="P4" t="s">
        <v>2326</v>
      </c>
      <c r="Q4">
        <v>5697</v>
      </c>
      <c r="R4" t="s">
        <v>2199</v>
      </c>
      <c r="S4" t="s">
        <v>2034</v>
      </c>
      <c r="T4">
        <v>202207</v>
      </c>
      <c r="U4" t="s">
        <v>178</v>
      </c>
      <c r="V4">
        <v>2987</v>
      </c>
      <c r="AB4">
        <v>5697</v>
      </c>
      <c r="AC4" t="s">
        <v>2199</v>
      </c>
      <c r="AD4" t="s">
        <v>2034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5369</v>
      </c>
      <c r="B5" t="s">
        <v>2326</v>
      </c>
      <c r="C5">
        <v>5697</v>
      </c>
      <c r="D5" t="s">
        <v>2199</v>
      </c>
      <c r="E5" t="s">
        <v>2034</v>
      </c>
      <c r="F5">
        <v>202207</v>
      </c>
      <c r="G5" t="s">
        <v>178</v>
      </c>
      <c r="H5">
        <v>2987</v>
      </c>
      <c r="J5" s="724">
        <f>J4</f>
        <v>5369</v>
      </c>
      <c r="K5" s="901" t="s">
        <v>183</v>
      </c>
      <c r="L5" s="723" t="str">
        <f>L3</f>
        <v>&gt;=202109</v>
      </c>
      <c r="M5" s="723" t="str">
        <f>M3</f>
        <v>&lt;=202208</v>
      </c>
      <c r="O5">
        <v>5369</v>
      </c>
      <c r="P5" t="s">
        <v>2326</v>
      </c>
      <c r="Q5">
        <v>5697</v>
      </c>
      <c r="R5" t="s">
        <v>2199</v>
      </c>
      <c r="S5" t="s">
        <v>2034</v>
      </c>
      <c r="T5">
        <v>202207</v>
      </c>
      <c r="U5" t="s">
        <v>180</v>
      </c>
      <c r="V5">
        <v>2250</v>
      </c>
      <c r="AB5">
        <v>5697</v>
      </c>
      <c r="AC5" t="s">
        <v>2199</v>
      </c>
      <c r="AD5" t="s">
        <v>2034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5369</v>
      </c>
      <c r="B6" t="s">
        <v>2326</v>
      </c>
      <c r="C6">
        <v>5697</v>
      </c>
      <c r="D6" t="s">
        <v>2199</v>
      </c>
      <c r="E6" t="s">
        <v>2034</v>
      </c>
      <c r="F6">
        <v>202207</v>
      </c>
      <c r="G6" t="s">
        <v>180</v>
      </c>
      <c r="H6">
        <v>2250</v>
      </c>
      <c r="J6" t="s">
        <v>185</v>
      </c>
      <c r="K6">
        <f>(YEAR(SAS_RA0_DataInicio)*100+MONTH(SAS_RA0_DataInicio))</f>
        <v>202109</v>
      </c>
      <c r="O6">
        <v>5369</v>
      </c>
      <c r="P6" t="s">
        <v>2326</v>
      </c>
      <c r="Q6">
        <v>5697</v>
      </c>
      <c r="R6" t="s">
        <v>2199</v>
      </c>
      <c r="S6" t="s">
        <v>2034</v>
      </c>
      <c r="T6">
        <v>202207</v>
      </c>
      <c r="U6" t="s">
        <v>182</v>
      </c>
      <c r="V6">
        <v>1071361</v>
      </c>
      <c r="AB6">
        <v>5697</v>
      </c>
      <c r="AC6" t="s">
        <v>2199</v>
      </c>
      <c r="AD6" t="s">
        <v>2034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5369</v>
      </c>
      <c r="B7" t="s">
        <v>2326</v>
      </c>
      <c r="C7">
        <v>5697</v>
      </c>
      <c r="D7" t="s">
        <v>2199</v>
      </c>
      <c r="E7" t="s">
        <v>2034</v>
      </c>
      <c r="F7">
        <v>202207</v>
      </c>
      <c r="G7" t="s">
        <v>182</v>
      </c>
      <c r="H7">
        <v>1071361</v>
      </c>
      <c r="J7" t="s">
        <v>187</v>
      </c>
      <c r="K7">
        <f>YEAR(SAS_RA0_DataFim)*100+MONTH(SAS_RA0_DataFim)</f>
        <v>202208</v>
      </c>
      <c r="O7">
        <v>5369</v>
      </c>
      <c r="P7" t="s">
        <v>2326</v>
      </c>
      <c r="Q7">
        <v>5697</v>
      </c>
      <c r="R7" t="s">
        <v>2199</v>
      </c>
      <c r="S7" t="s">
        <v>2034</v>
      </c>
      <c r="T7">
        <v>202207</v>
      </c>
      <c r="U7" t="s">
        <v>184</v>
      </c>
      <c r="V7">
        <v>105727</v>
      </c>
      <c r="AI7">
        <f t="shared" si="0"/>
        <v>0</v>
      </c>
      <c r="AJ7" t="str">
        <f t="shared" si="1"/>
        <v>Nada</v>
      </c>
    </row>
    <row r="8" spans="1:36">
      <c r="A8">
        <v>5369</v>
      </c>
      <c r="B8" t="s">
        <v>2326</v>
      </c>
      <c r="C8">
        <v>5697</v>
      </c>
      <c r="D8" t="s">
        <v>2199</v>
      </c>
      <c r="E8" t="s">
        <v>2034</v>
      </c>
      <c r="F8">
        <v>202207</v>
      </c>
      <c r="G8" t="s">
        <v>184</v>
      </c>
      <c r="H8">
        <v>105727</v>
      </c>
      <c r="J8" t="s">
        <v>188</v>
      </c>
      <c r="K8" s="630">
        <f>MAX(AI:AI)</f>
        <v>202208</v>
      </c>
      <c r="O8">
        <v>5369</v>
      </c>
      <c r="P8" t="s">
        <v>2326</v>
      </c>
      <c r="Q8">
        <v>5697</v>
      </c>
      <c r="R8" t="s">
        <v>2199</v>
      </c>
      <c r="S8" t="s">
        <v>2034</v>
      </c>
      <c r="T8">
        <v>202207</v>
      </c>
      <c r="U8" t="s">
        <v>186</v>
      </c>
      <c r="V8">
        <v>0</v>
      </c>
      <c r="AI8">
        <f t="shared" si="0"/>
        <v>0</v>
      </c>
      <c r="AJ8" t="str">
        <f t="shared" si="1"/>
        <v>Nada</v>
      </c>
    </row>
    <row r="9" spans="1:36">
      <c r="A9">
        <v>5369</v>
      </c>
      <c r="B9" t="s">
        <v>2326</v>
      </c>
      <c r="C9">
        <v>5697</v>
      </c>
      <c r="D9" t="s">
        <v>2199</v>
      </c>
      <c r="E9" t="s">
        <v>2034</v>
      </c>
      <c r="F9">
        <v>202207</v>
      </c>
      <c r="G9" t="s">
        <v>192</v>
      </c>
      <c r="H9">
        <v>0</v>
      </c>
      <c r="J9" t="s">
        <v>189</v>
      </c>
      <c r="K9" s="630">
        <f>MAX(AJ:AJ)</f>
        <v>0</v>
      </c>
      <c r="O9">
        <v>5369</v>
      </c>
      <c r="P9" t="s">
        <v>2326</v>
      </c>
      <c r="Q9">
        <v>5697</v>
      </c>
      <c r="R9" t="s">
        <v>2199</v>
      </c>
      <c r="S9" t="s">
        <v>2034</v>
      </c>
      <c r="T9">
        <v>202207</v>
      </c>
      <c r="U9" t="s">
        <v>190</v>
      </c>
      <c r="V9">
        <v>766333</v>
      </c>
    </row>
    <row r="10" spans="1:36">
      <c r="A10">
        <v>5369</v>
      </c>
      <c r="B10" t="s">
        <v>2326</v>
      </c>
      <c r="C10">
        <v>5697</v>
      </c>
      <c r="D10" t="s">
        <v>2199</v>
      </c>
      <c r="E10" t="s">
        <v>2034</v>
      </c>
      <c r="F10">
        <v>202207</v>
      </c>
      <c r="G10" t="s">
        <v>2168</v>
      </c>
      <c r="H10">
        <v>10353.93</v>
      </c>
      <c r="O10">
        <v>5369</v>
      </c>
      <c r="P10" t="s">
        <v>2326</v>
      </c>
      <c r="Q10">
        <v>5697</v>
      </c>
      <c r="R10" t="s">
        <v>2199</v>
      </c>
      <c r="S10" t="s">
        <v>2034</v>
      </c>
      <c r="T10">
        <v>202207</v>
      </c>
      <c r="U10" t="s">
        <v>191</v>
      </c>
      <c r="V10">
        <v>54448</v>
      </c>
    </row>
    <row r="11" spans="1:36">
      <c r="A11">
        <v>5369</v>
      </c>
      <c r="B11" t="s">
        <v>2326</v>
      </c>
      <c r="C11">
        <v>5697</v>
      </c>
      <c r="D11" t="s">
        <v>2199</v>
      </c>
      <c r="E11" t="s">
        <v>2034</v>
      </c>
      <c r="F11">
        <v>202207</v>
      </c>
      <c r="G11" t="s">
        <v>186</v>
      </c>
      <c r="H11">
        <v>0</v>
      </c>
      <c r="J11" s="781">
        <f>VALUE(A2)</f>
        <v>5369</v>
      </c>
      <c r="O11">
        <v>5369</v>
      </c>
      <c r="P11" t="s">
        <v>2326</v>
      </c>
      <c r="Q11">
        <v>5697</v>
      </c>
      <c r="R11" t="s">
        <v>2199</v>
      </c>
      <c r="S11" t="s">
        <v>2034</v>
      </c>
      <c r="T11">
        <v>202207</v>
      </c>
      <c r="U11" t="s">
        <v>178</v>
      </c>
      <c r="V11">
        <v>2446</v>
      </c>
    </row>
    <row r="12" spans="1:36">
      <c r="A12">
        <v>5369</v>
      </c>
      <c r="B12" t="s">
        <v>2326</v>
      </c>
      <c r="C12">
        <v>5697</v>
      </c>
      <c r="D12" t="s">
        <v>2199</v>
      </c>
      <c r="E12" t="s">
        <v>2034</v>
      </c>
      <c r="F12">
        <v>202207</v>
      </c>
      <c r="G12" t="s">
        <v>2167</v>
      </c>
      <c r="H12">
        <v>120.75</v>
      </c>
      <c r="K12" s="8"/>
      <c r="O12">
        <v>5369</v>
      </c>
      <c r="P12" t="s">
        <v>2326</v>
      </c>
      <c r="Q12">
        <v>5697</v>
      </c>
      <c r="R12" t="s">
        <v>2199</v>
      </c>
      <c r="S12" t="s">
        <v>2034</v>
      </c>
      <c r="T12">
        <v>202207</v>
      </c>
      <c r="U12" t="s">
        <v>180</v>
      </c>
      <c r="V12">
        <v>1550</v>
      </c>
    </row>
    <row r="13" spans="1:36">
      <c r="A13">
        <v>5369</v>
      </c>
      <c r="B13" t="s">
        <v>2326</v>
      </c>
      <c r="C13">
        <v>5697</v>
      </c>
      <c r="D13" t="s">
        <v>2199</v>
      </c>
      <c r="E13" t="s">
        <v>2034</v>
      </c>
      <c r="F13">
        <v>202207</v>
      </c>
      <c r="G13" t="s">
        <v>2164</v>
      </c>
      <c r="H13">
        <v>11.83</v>
      </c>
      <c r="O13">
        <v>5369</v>
      </c>
      <c r="P13" t="s">
        <v>2326</v>
      </c>
      <c r="Q13">
        <v>5697</v>
      </c>
      <c r="R13" t="s">
        <v>2199</v>
      </c>
      <c r="S13" t="s">
        <v>2034</v>
      </c>
      <c r="T13">
        <v>202207</v>
      </c>
      <c r="U13" t="s">
        <v>182</v>
      </c>
      <c r="V13">
        <v>766333</v>
      </c>
    </row>
    <row r="14" spans="1:36">
      <c r="A14">
        <v>5369</v>
      </c>
      <c r="B14" t="s">
        <v>2326</v>
      </c>
      <c r="C14">
        <v>5697</v>
      </c>
      <c r="D14" t="s">
        <v>2199</v>
      </c>
      <c r="E14" t="s">
        <v>2034</v>
      </c>
      <c r="F14">
        <v>202207</v>
      </c>
      <c r="G14" t="s">
        <v>2165</v>
      </c>
      <c r="H14">
        <v>21.22</v>
      </c>
      <c r="O14">
        <v>5369</v>
      </c>
      <c r="P14" t="s">
        <v>2326</v>
      </c>
      <c r="Q14">
        <v>5697</v>
      </c>
      <c r="R14" t="s">
        <v>2199</v>
      </c>
      <c r="S14" t="s">
        <v>2034</v>
      </c>
      <c r="T14">
        <v>202207</v>
      </c>
      <c r="U14" t="s">
        <v>184</v>
      </c>
      <c r="V14">
        <v>54448</v>
      </c>
    </row>
    <row r="15" spans="1:36">
      <c r="A15">
        <v>5369</v>
      </c>
      <c r="B15" t="s">
        <v>2326</v>
      </c>
      <c r="C15">
        <v>5697</v>
      </c>
      <c r="D15" t="s">
        <v>2199</v>
      </c>
      <c r="E15" t="s">
        <v>2034</v>
      </c>
      <c r="F15">
        <v>202207</v>
      </c>
      <c r="G15" t="s">
        <v>2166</v>
      </c>
      <c r="H15">
        <v>14.37</v>
      </c>
      <c r="O15">
        <v>5369</v>
      </c>
      <c r="P15" t="s">
        <v>2326</v>
      </c>
      <c r="Q15">
        <v>5697</v>
      </c>
      <c r="R15" t="s">
        <v>2199</v>
      </c>
      <c r="S15" t="s">
        <v>2034</v>
      </c>
      <c r="T15">
        <v>202207</v>
      </c>
      <c r="U15" t="s">
        <v>186</v>
      </c>
      <c r="V15">
        <v>0</v>
      </c>
    </row>
    <row r="16" spans="1:36">
      <c r="A16">
        <v>5369</v>
      </c>
      <c r="B16" t="s">
        <v>2326</v>
      </c>
      <c r="C16">
        <v>5697</v>
      </c>
      <c r="D16" t="s">
        <v>2199</v>
      </c>
      <c r="E16" t="s">
        <v>2034</v>
      </c>
      <c r="F16">
        <v>202207</v>
      </c>
      <c r="G16" t="s">
        <v>2169</v>
      </c>
      <c r="H16">
        <v>262124.56</v>
      </c>
      <c r="O16">
        <v>5369</v>
      </c>
      <c r="P16" t="s">
        <v>2326</v>
      </c>
      <c r="Q16">
        <v>5697</v>
      </c>
      <c r="R16" t="s">
        <v>2199</v>
      </c>
      <c r="S16" t="s">
        <v>2034</v>
      </c>
      <c r="T16">
        <v>202207</v>
      </c>
      <c r="U16" t="s">
        <v>190</v>
      </c>
      <c r="V16">
        <v>2041835</v>
      </c>
    </row>
    <row r="17" spans="1:22">
      <c r="A17">
        <v>5369</v>
      </c>
      <c r="B17" t="s">
        <v>2326</v>
      </c>
      <c r="C17">
        <v>5697</v>
      </c>
      <c r="D17" t="s">
        <v>2199</v>
      </c>
      <c r="E17" t="s">
        <v>2034</v>
      </c>
      <c r="F17">
        <v>202207</v>
      </c>
      <c r="G17" t="s">
        <v>190</v>
      </c>
      <c r="H17">
        <v>766333</v>
      </c>
      <c r="O17">
        <v>5369</v>
      </c>
      <c r="P17" t="s">
        <v>2326</v>
      </c>
      <c r="Q17">
        <v>5697</v>
      </c>
      <c r="R17" t="s">
        <v>2199</v>
      </c>
      <c r="S17" t="s">
        <v>2034</v>
      </c>
      <c r="T17">
        <v>202207</v>
      </c>
      <c r="U17" t="s">
        <v>191</v>
      </c>
      <c r="V17">
        <v>124372</v>
      </c>
    </row>
    <row r="18" spans="1:22">
      <c r="A18">
        <v>5369</v>
      </c>
      <c r="B18" t="s">
        <v>2326</v>
      </c>
      <c r="C18">
        <v>5697</v>
      </c>
      <c r="D18" t="s">
        <v>2199</v>
      </c>
      <c r="E18" t="s">
        <v>2034</v>
      </c>
      <c r="F18">
        <v>202207</v>
      </c>
      <c r="G18" t="s">
        <v>191</v>
      </c>
      <c r="H18">
        <v>54448</v>
      </c>
      <c r="O18">
        <v>5369</v>
      </c>
      <c r="P18" t="s">
        <v>2326</v>
      </c>
      <c r="Q18">
        <v>5697</v>
      </c>
      <c r="R18" t="s">
        <v>2199</v>
      </c>
      <c r="S18" t="s">
        <v>2034</v>
      </c>
      <c r="T18">
        <v>202207</v>
      </c>
      <c r="U18" t="s">
        <v>178</v>
      </c>
      <c r="V18">
        <v>6505</v>
      </c>
    </row>
    <row r="19" spans="1:22">
      <c r="A19">
        <v>5369</v>
      </c>
      <c r="B19" t="s">
        <v>2326</v>
      </c>
      <c r="C19">
        <v>5697</v>
      </c>
      <c r="D19" t="s">
        <v>2199</v>
      </c>
      <c r="E19" t="s">
        <v>2034</v>
      </c>
      <c r="F19">
        <v>202207</v>
      </c>
      <c r="G19" t="s">
        <v>176</v>
      </c>
      <c r="H19">
        <v>0</v>
      </c>
      <c r="O19">
        <v>5369</v>
      </c>
      <c r="P19" t="s">
        <v>2326</v>
      </c>
      <c r="Q19">
        <v>5697</v>
      </c>
      <c r="R19" t="s">
        <v>2199</v>
      </c>
      <c r="S19" t="s">
        <v>2034</v>
      </c>
      <c r="T19">
        <v>202207</v>
      </c>
      <c r="U19" t="s">
        <v>180</v>
      </c>
      <c r="V19">
        <v>4000</v>
      </c>
    </row>
    <row r="20" spans="1:22">
      <c r="A20">
        <v>5369</v>
      </c>
      <c r="B20" t="s">
        <v>2326</v>
      </c>
      <c r="C20">
        <v>5697</v>
      </c>
      <c r="D20" t="s">
        <v>2199</v>
      </c>
      <c r="E20" t="s">
        <v>2034</v>
      </c>
      <c r="F20">
        <v>202207</v>
      </c>
      <c r="G20" t="s">
        <v>178</v>
      </c>
      <c r="H20">
        <v>2446</v>
      </c>
      <c r="O20">
        <v>5369</v>
      </c>
      <c r="P20" t="s">
        <v>2326</v>
      </c>
      <c r="Q20">
        <v>5697</v>
      </c>
      <c r="R20" t="s">
        <v>2199</v>
      </c>
      <c r="S20" t="s">
        <v>2034</v>
      </c>
      <c r="T20">
        <v>202207</v>
      </c>
      <c r="U20" t="s">
        <v>182</v>
      </c>
      <c r="V20">
        <v>2104665</v>
      </c>
    </row>
    <row r="21" spans="1:22">
      <c r="A21">
        <v>5369</v>
      </c>
      <c r="B21" t="s">
        <v>2326</v>
      </c>
      <c r="C21">
        <v>5697</v>
      </c>
      <c r="D21" t="s">
        <v>2199</v>
      </c>
      <c r="E21" t="s">
        <v>2034</v>
      </c>
      <c r="F21">
        <v>202207</v>
      </c>
      <c r="G21" t="s">
        <v>180</v>
      </c>
      <c r="H21">
        <v>1550</v>
      </c>
      <c r="O21">
        <v>5369</v>
      </c>
      <c r="P21" t="s">
        <v>2326</v>
      </c>
      <c r="Q21">
        <v>5697</v>
      </c>
      <c r="R21" t="s">
        <v>2199</v>
      </c>
      <c r="S21" t="s">
        <v>2034</v>
      </c>
      <c r="T21">
        <v>202207</v>
      </c>
      <c r="U21" t="s">
        <v>184</v>
      </c>
      <c r="V21">
        <v>124372</v>
      </c>
    </row>
    <row r="22" spans="1:22">
      <c r="A22">
        <v>5369</v>
      </c>
      <c r="B22" t="s">
        <v>2326</v>
      </c>
      <c r="C22">
        <v>5697</v>
      </c>
      <c r="D22" t="s">
        <v>2199</v>
      </c>
      <c r="E22" t="s">
        <v>2034</v>
      </c>
      <c r="F22">
        <v>202207</v>
      </c>
      <c r="G22" t="s">
        <v>182</v>
      </c>
      <c r="H22">
        <v>766333</v>
      </c>
      <c r="O22">
        <v>5369</v>
      </c>
      <c r="P22" t="s">
        <v>2326</v>
      </c>
      <c r="Q22">
        <v>5697</v>
      </c>
      <c r="R22" t="s">
        <v>2199</v>
      </c>
      <c r="S22" t="s">
        <v>2034</v>
      </c>
      <c r="T22">
        <v>202207</v>
      </c>
      <c r="U22" t="s">
        <v>186</v>
      </c>
      <c r="V22">
        <v>62830</v>
      </c>
    </row>
    <row r="23" spans="1:22">
      <c r="A23">
        <v>5369</v>
      </c>
      <c r="B23" t="s">
        <v>2326</v>
      </c>
      <c r="C23">
        <v>5697</v>
      </c>
      <c r="D23" t="s">
        <v>2199</v>
      </c>
      <c r="E23" t="s">
        <v>2034</v>
      </c>
      <c r="F23">
        <v>202207</v>
      </c>
      <c r="G23" t="s">
        <v>184</v>
      </c>
      <c r="H23">
        <v>54448</v>
      </c>
      <c r="O23">
        <v>5369</v>
      </c>
      <c r="P23" t="s">
        <v>2326</v>
      </c>
      <c r="Q23">
        <v>5697</v>
      </c>
      <c r="R23" t="s">
        <v>2199</v>
      </c>
      <c r="S23" t="s">
        <v>2034</v>
      </c>
      <c r="T23">
        <v>202109</v>
      </c>
      <c r="U23" t="s">
        <v>190</v>
      </c>
      <c r="V23">
        <v>743627</v>
      </c>
    </row>
    <row r="24" spans="1:22">
      <c r="A24">
        <v>5369</v>
      </c>
      <c r="B24" t="s">
        <v>2326</v>
      </c>
      <c r="C24">
        <v>5697</v>
      </c>
      <c r="D24" t="s">
        <v>2199</v>
      </c>
      <c r="E24" t="s">
        <v>2034</v>
      </c>
      <c r="F24">
        <v>202207</v>
      </c>
      <c r="G24" t="s">
        <v>192</v>
      </c>
      <c r="H24">
        <v>0</v>
      </c>
      <c r="O24">
        <v>5369</v>
      </c>
      <c r="P24" t="s">
        <v>2326</v>
      </c>
      <c r="Q24">
        <v>5697</v>
      </c>
      <c r="R24" t="s">
        <v>2199</v>
      </c>
      <c r="S24" t="s">
        <v>2034</v>
      </c>
      <c r="T24">
        <v>202109</v>
      </c>
      <c r="U24" t="s">
        <v>191</v>
      </c>
      <c r="V24">
        <v>52426</v>
      </c>
    </row>
    <row r="25" spans="1:22">
      <c r="A25">
        <v>5369</v>
      </c>
      <c r="B25" t="s">
        <v>2326</v>
      </c>
      <c r="C25">
        <v>5697</v>
      </c>
      <c r="D25" t="s">
        <v>2199</v>
      </c>
      <c r="E25" t="s">
        <v>2034</v>
      </c>
      <c r="F25">
        <v>202207</v>
      </c>
      <c r="G25" t="s">
        <v>2168</v>
      </c>
      <c r="H25">
        <v>7103.49</v>
      </c>
      <c r="O25">
        <v>5369</v>
      </c>
      <c r="P25" t="s">
        <v>2326</v>
      </c>
      <c r="Q25">
        <v>5697</v>
      </c>
      <c r="R25" t="s">
        <v>2199</v>
      </c>
      <c r="S25" t="s">
        <v>2034</v>
      </c>
      <c r="T25">
        <v>202109</v>
      </c>
      <c r="U25" t="s">
        <v>178</v>
      </c>
      <c r="V25">
        <v>2391</v>
      </c>
    </row>
    <row r="26" spans="1:22">
      <c r="A26">
        <v>5369</v>
      </c>
      <c r="B26" t="s">
        <v>2326</v>
      </c>
      <c r="C26">
        <v>5697</v>
      </c>
      <c r="D26" t="s">
        <v>2199</v>
      </c>
      <c r="E26" t="s">
        <v>2034</v>
      </c>
      <c r="F26">
        <v>202207</v>
      </c>
      <c r="G26" t="s">
        <v>186</v>
      </c>
      <c r="H26">
        <v>0</v>
      </c>
      <c r="O26">
        <v>5369</v>
      </c>
      <c r="P26" t="s">
        <v>2326</v>
      </c>
      <c r="Q26">
        <v>5697</v>
      </c>
      <c r="R26" t="s">
        <v>2199</v>
      </c>
      <c r="S26" t="s">
        <v>2034</v>
      </c>
      <c r="T26">
        <v>202109</v>
      </c>
      <c r="U26" t="s">
        <v>180</v>
      </c>
      <c r="V26">
        <v>1550</v>
      </c>
    </row>
    <row r="27" spans="1:22">
      <c r="A27">
        <v>5369</v>
      </c>
      <c r="B27" t="s">
        <v>2326</v>
      </c>
      <c r="C27">
        <v>5697</v>
      </c>
      <c r="D27" t="s">
        <v>2199</v>
      </c>
      <c r="E27" t="s">
        <v>2034</v>
      </c>
      <c r="F27">
        <v>202207</v>
      </c>
      <c r="G27" t="s">
        <v>2167</v>
      </c>
      <c r="H27">
        <v>120.75</v>
      </c>
      <c r="O27">
        <v>5369</v>
      </c>
      <c r="P27" t="s">
        <v>2326</v>
      </c>
      <c r="Q27">
        <v>5697</v>
      </c>
      <c r="R27" t="s">
        <v>2199</v>
      </c>
      <c r="S27" t="s">
        <v>2034</v>
      </c>
      <c r="T27">
        <v>202109</v>
      </c>
      <c r="U27" t="s">
        <v>182</v>
      </c>
      <c r="V27">
        <v>743627</v>
      </c>
    </row>
    <row r="28" spans="1:22">
      <c r="A28">
        <v>5369</v>
      </c>
      <c r="B28" t="s">
        <v>2326</v>
      </c>
      <c r="C28">
        <v>5697</v>
      </c>
      <c r="D28" t="s">
        <v>2199</v>
      </c>
      <c r="E28" t="s">
        <v>2034</v>
      </c>
      <c r="F28">
        <v>202207</v>
      </c>
      <c r="G28" t="s">
        <v>2164</v>
      </c>
      <c r="H28">
        <v>11.83</v>
      </c>
      <c r="O28">
        <v>5369</v>
      </c>
      <c r="P28" t="s">
        <v>2326</v>
      </c>
      <c r="Q28">
        <v>5697</v>
      </c>
      <c r="R28" t="s">
        <v>2199</v>
      </c>
      <c r="S28" t="s">
        <v>2034</v>
      </c>
      <c r="T28">
        <v>202109</v>
      </c>
      <c r="U28" t="s">
        <v>184</v>
      </c>
      <c r="V28">
        <v>52426</v>
      </c>
    </row>
    <row r="29" spans="1:22">
      <c r="A29">
        <v>5369</v>
      </c>
      <c r="B29" t="s">
        <v>2326</v>
      </c>
      <c r="C29">
        <v>5697</v>
      </c>
      <c r="D29" t="s">
        <v>2199</v>
      </c>
      <c r="E29" t="s">
        <v>2034</v>
      </c>
      <c r="F29">
        <v>202207</v>
      </c>
      <c r="G29" t="s">
        <v>2165</v>
      </c>
      <c r="H29">
        <v>21.22</v>
      </c>
      <c r="O29">
        <v>5369</v>
      </c>
      <c r="P29" t="s">
        <v>2326</v>
      </c>
      <c r="Q29">
        <v>5697</v>
      </c>
      <c r="R29" t="s">
        <v>2199</v>
      </c>
      <c r="S29" t="s">
        <v>2034</v>
      </c>
      <c r="T29">
        <v>202109</v>
      </c>
      <c r="U29" t="s">
        <v>186</v>
      </c>
      <c r="V29">
        <v>0</v>
      </c>
    </row>
    <row r="30" spans="1:22">
      <c r="A30">
        <v>5369</v>
      </c>
      <c r="B30" t="s">
        <v>2326</v>
      </c>
      <c r="C30">
        <v>5697</v>
      </c>
      <c r="D30" t="s">
        <v>2199</v>
      </c>
      <c r="E30" t="s">
        <v>2034</v>
      </c>
      <c r="F30">
        <v>202207</v>
      </c>
      <c r="G30" t="s">
        <v>2166</v>
      </c>
      <c r="H30">
        <v>14.37</v>
      </c>
      <c r="O30">
        <v>5369</v>
      </c>
      <c r="P30" t="s">
        <v>2326</v>
      </c>
      <c r="Q30">
        <v>5697</v>
      </c>
      <c r="R30" t="s">
        <v>2199</v>
      </c>
      <c r="S30" t="s">
        <v>2034</v>
      </c>
      <c r="T30">
        <v>202109</v>
      </c>
      <c r="U30" t="s">
        <v>190</v>
      </c>
      <c r="V30">
        <v>1123871</v>
      </c>
    </row>
    <row r="31" spans="1:22">
      <c r="A31">
        <v>5369</v>
      </c>
      <c r="B31" t="s">
        <v>2326</v>
      </c>
      <c r="C31">
        <v>5697</v>
      </c>
      <c r="D31" t="s">
        <v>2199</v>
      </c>
      <c r="E31" t="s">
        <v>2034</v>
      </c>
      <c r="F31">
        <v>202207</v>
      </c>
      <c r="G31" t="s">
        <v>2169</v>
      </c>
      <c r="H31">
        <v>179835.51</v>
      </c>
      <c r="O31">
        <v>5369</v>
      </c>
      <c r="P31" t="s">
        <v>2326</v>
      </c>
      <c r="Q31">
        <v>5697</v>
      </c>
      <c r="R31" t="s">
        <v>2199</v>
      </c>
      <c r="S31" t="s">
        <v>2034</v>
      </c>
      <c r="T31">
        <v>202109</v>
      </c>
      <c r="U31" t="s">
        <v>191</v>
      </c>
      <c r="V31">
        <v>112003</v>
      </c>
    </row>
    <row r="32" spans="1:22">
      <c r="A32">
        <v>5369</v>
      </c>
      <c r="B32" t="s">
        <v>2326</v>
      </c>
      <c r="C32">
        <v>5697</v>
      </c>
      <c r="D32" t="s">
        <v>2199</v>
      </c>
      <c r="E32" t="s">
        <v>2034</v>
      </c>
      <c r="F32">
        <v>202207</v>
      </c>
      <c r="G32" t="s">
        <v>190</v>
      </c>
      <c r="H32">
        <v>2041835</v>
      </c>
      <c r="O32">
        <v>5369</v>
      </c>
      <c r="P32" t="s">
        <v>2326</v>
      </c>
      <c r="Q32">
        <v>5697</v>
      </c>
      <c r="R32" t="s">
        <v>2199</v>
      </c>
      <c r="S32" t="s">
        <v>2034</v>
      </c>
      <c r="T32">
        <v>202109</v>
      </c>
      <c r="U32" t="s">
        <v>178</v>
      </c>
      <c r="V32">
        <v>3076</v>
      </c>
    </row>
    <row r="33" spans="1:22">
      <c r="A33">
        <v>5369</v>
      </c>
      <c r="B33" t="s">
        <v>2326</v>
      </c>
      <c r="C33">
        <v>5697</v>
      </c>
      <c r="D33" t="s">
        <v>2199</v>
      </c>
      <c r="E33" t="s">
        <v>2034</v>
      </c>
      <c r="F33">
        <v>202207</v>
      </c>
      <c r="G33" t="s">
        <v>191</v>
      </c>
      <c r="H33">
        <v>124372</v>
      </c>
      <c r="O33">
        <v>5369</v>
      </c>
      <c r="P33" t="s">
        <v>2326</v>
      </c>
      <c r="Q33">
        <v>5697</v>
      </c>
      <c r="R33" t="s">
        <v>2199</v>
      </c>
      <c r="S33" t="s">
        <v>2034</v>
      </c>
      <c r="T33">
        <v>202109</v>
      </c>
      <c r="U33" t="s">
        <v>180</v>
      </c>
      <c r="V33">
        <v>2196</v>
      </c>
    </row>
    <row r="34" spans="1:22">
      <c r="A34">
        <v>5369</v>
      </c>
      <c r="B34" t="s">
        <v>2326</v>
      </c>
      <c r="C34">
        <v>5697</v>
      </c>
      <c r="D34" t="s">
        <v>2199</v>
      </c>
      <c r="E34" t="s">
        <v>2034</v>
      </c>
      <c r="F34">
        <v>202207</v>
      </c>
      <c r="G34" t="s">
        <v>176</v>
      </c>
      <c r="H34">
        <v>0</v>
      </c>
      <c r="O34">
        <v>5369</v>
      </c>
      <c r="P34" t="s">
        <v>2326</v>
      </c>
      <c r="Q34">
        <v>5697</v>
      </c>
      <c r="R34" t="s">
        <v>2199</v>
      </c>
      <c r="S34" t="s">
        <v>2034</v>
      </c>
      <c r="T34">
        <v>202109</v>
      </c>
      <c r="U34" t="s">
        <v>182</v>
      </c>
      <c r="V34">
        <v>1123871</v>
      </c>
    </row>
    <row r="35" spans="1:22">
      <c r="A35">
        <v>5369</v>
      </c>
      <c r="B35" t="s">
        <v>2326</v>
      </c>
      <c r="C35">
        <v>5697</v>
      </c>
      <c r="D35" t="s">
        <v>2199</v>
      </c>
      <c r="E35" t="s">
        <v>2034</v>
      </c>
      <c r="F35">
        <v>202207</v>
      </c>
      <c r="G35" t="s">
        <v>178</v>
      </c>
      <c r="H35">
        <v>6505</v>
      </c>
      <c r="O35">
        <v>5369</v>
      </c>
      <c r="P35" t="s">
        <v>2326</v>
      </c>
      <c r="Q35">
        <v>5697</v>
      </c>
      <c r="R35" t="s">
        <v>2199</v>
      </c>
      <c r="S35" t="s">
        <v>2034</v>
      </c>
      <c r="T35">
        <v>202109</v>
      </c>
      <c r="U35" t="s">
        <v>184</v>
      </c>
      <c r="V35">
        <v>112003</v>
      </c>
    </row>
    <row r="36" spans="1:22">
      <c r="A36">
        <v>5369</v>
      </c>
      <c r="B36" t="s">
        <v>2326</v>
      </c>
      <c r="C36">
        <v>5697</v>
      </c>
      <c r="D36" t="s">
        <v>2199</v>
      </c>
      <c r="E36" t="s">
        <v>2034</v>
      </c>
      <c r="F36">
        <v>202207</v>
      </c>
      <c r="G36" t="s">
        <v>180</v>
      </c>
      <c r="H36">
        <v>4000</v>
      </c>
      <c r="O36">
        <v>5369</v>
      </c>
      <c r="P36" t="s">
        <v>2326</v>
      </c>
      <c r="Q36">
        <v>5697</v>
      </c>
      <c r="R36" t="s">
        <v>2199</v>
      </c>
      <c r="S36" t="s">
        <v>2034</v>
      </c>
      <c r="T36">
        <v>202109</v>
      </c>
      <c r="U36" t="s">
        <v>186</v>
      </c>
      <c r="V36">
        <v>0</v>
      </c>
    </row>
    <row r="37" spans="1:22">
      <c r="A37">
        <v>5369</v>
      </c>
      <c r="B37" t="s">
        <v>2326</v>
      </c>
      <c r="C37">
        <v>5697</v>
      </c>
      <c r="D37" t="s">
        <v>2199</v>
      </c>
      <c r="E37" t="s">
        <v>2034</v>
      </c>
      <c r="F37">
        <v>202207</v>
      </c>
      <c r="G37" t="s">
        <v>182</v>
      </c>
      <c r="H37">
        <v>2104665</v>
      </c>
      <c r="O37">
        <v>5369</v>
      </c>
      <c r="P37" t="s">
        <v>2326</v>
      </c>
      <c r="Q37">
        <v>5697</v>
      </c>
      <c r="R37" t="s">
        <v>2199</v>
      </c>
      <c r="S37" t="s">
        <v>2034</v>
      </c>
      <c r="T37">
        <v>202109</v>
      </c>
      <c r="U37" t="s">
        <v>190</v>
      </c>
      <c r="V37">
        <v>2188530</v>
      </c>
    </row>
    <row r="38" spans="1:22">
      <c r="A38">
        <v>5369</v>
      </c>
      <c r="B38" t="s">
        <v>2326</v>
      </c>
      <c r="C38">
        <v>5697</v>
      </c>
      <c r="D38" t="s">
        <v>2199</v>
      </c>
      <c r="E38" t="s">
        <v>2034</v>
      </c>
      <c r="F38">
        <v>202207</v>
      </c>
      <c r="G38" t="s">
        <v>184</v>
      </c>
      <c r="H38">
        <v>124372</v>
      </c>
      <c r="O38">
        <v>5369</v>
      </c>
      <c r="P38" t="s">
        <v>2326</v>
      </c>
      <c r="Q38">
        <v>5697</v>
      </c>
      <c r="R38" t="s">
        <v>2199</v>
      </c>
      <c r="S38" t="s">
        <v>2034</v>
      </c>
      <c r="T38">
        <v>202109</v>
      </c>
      <c r="U38" t="s">
        <v>191</v>
      </c>
      <c r="V38">
        <v>133857</v>
      </c>
    </row>
    <row r="39" spans="1:22">
      <c r="A39">
        <v>5369</v>
      </c>
      <c r="B39" t="s">
        <v>2326</v>
      </c>
      <c r="C39">
        <v>5697</v>
      </c>
      <c r="D39" t="s">
        <v>2199</v>
      </c>
      <c r="E39" t="s">
        <v>2034</v>
      </c>
      <c r="F39">
        <v>202207</v>
      </c>
      <c r="G39" t="s">
        <v>192</v>
      </c>
      <c r="H39">
        <v>0</v>
      </c>
      <c r="O39">
        <v>5369</v>
      </c>
      <c r="P39" t="s">
        <v>2326</v>
      </c>
      <c r="Q39">
        <v>5697</v>
      </c>
      <c r="R39" t="s">
        <v>2199</v>
      </c>
      <c r="S39" t="s">
        <v>2034</v>
      </c>
      <c r="T39">
        <v>202109</v>
      </c>
      <c r="U39" t="s">
        <v>178</v>
      </c>
      <c r="V39">
        <v>6935</v>
      </c>
    </row>
    <row r="40" spans="1:22">
      <c r="A40">
        <v>5369</v>
      </c>
      <c r="B40" t="s">
        <v>2326</v>
      </c>
      <c r="C40">
        <v>5697</v>
      </c>
      <c r="D40" t="s">
        <v>2199</v>
      </c>
      <c r="E40" t="s">
        <v>2034</v>
      </c>
      <c r="F40">
        <v>202207</v>
      </c>
      <c r="G40" t="s">
        <v>2168</v>
      </c>
      <c r="H40">
        <v>18729.46</v>
      </c>
      <c r="O40">
        <v>5369</v>
      </c>
      <c r="P40" t="s">
        <v>2326</v>
      </c>
      <c r="Q40">
        <v>5697</v>
      </c>
      <c r="R40" t="s">
        <v>2199</v>
      </c>
      <c r="S40" t="s">
        <v>2034</v>
      </c>
      <c r="T40">
        <v>202109</v>
      </c>
      <c r="U40" t="s">
        <v>180</v>
      </c>
      <c r="V40">
        <v>4000</v>
      </c>
    </row>
    <row r="41" spans="1:22">
      <c r="A41">
        <v>5369</v>
      </c>
      <c r="B41" t="s">
        <v>2326</v>
      </c>
      <c r="C41">
        <v>5697</v>
      </c>
      <c r="D41" t="s">
        <v>2199</v>
      </c>
      <c r="E41" t="s">
        <v>2034</v>
      </c>
      <c r="F41">
        <v>202207</v>
      </c>
      <c r="G41" t="s">
        <v>186</v>
      </c>
      <c r="H41">
        <v>62830</v>
      </c>
      <c r="O41">
        <v>5369</v>
      </c>
      <c r="P41" t="s">
        <v>2326</v>
      </c>
      <c r="Q41">
        <v>5697</v>
      </c>
      <c r="R41" t="s">
        <v>2199</v>
      </c>
      <c r="S41" t="s">
        <v>2034</v>
      </c>
      <c r="T41">
        <v>202109</v>
      </c>
      <c r="U41" t="s">
        <v>182</v>
      </c>
      <c r="V41">
        <v>2257765</v>
      </c>
    </row>
    <row r="42" spans="1:22">
      <c r="A42">
        <v>5369</v>
      </c>
      <c r="B42" t="s">
        <v>2326</v>
      </c>
      <c r="C42">
        <v>5697</v>
      </c>
      <c r="D42" t="s">
        <v>2199</v>
      </c>
      <c r="E42" t="s">
        <v>2034</v>
      </c>
      <c r="F42">
        <v>202207</v>
      </c>
      <c r="G42" t="s">
        <v>2167</v>
      </c>
      <c r="H42">
        <v>120.75</v>
      </c>
      <c r="O42">
        <v>5369</v>
      </c>
      <c r="P42" t="s">
        <v>2326</v>
      </c>
      <c r="Q42">
        <v>5697</v>
      </c>
      <c r="R42" t="s">
        <v>2199</v>
      </c>
      <c r="S42" t="s">
        <v>2034</v>
      </c>
      <c r="T42">
        <v>202109</v>
      </c>
      <c r="U42" t="s">
        <v>184</v>
      </c>
      <c r="V42">
        <v>133857</v>
      </c>
    </row>
    <row r="43" spans="1:22">
      <c r="A43">
        <v>5369</v>
      </c>
      <c r="B43" t="s">
        <v>2326</v>
      </c>
      <c r="C43">
        <v>5697</v>
      </c>
      <c r="D43" t="s">
        <v>2199</v>
      </c>
      <c r="E43" t="s">
        <v>2034</v>
      </c>
      <c r="F43">
        <v>202207</v>
      </c>
      <c r="G43" t="s">
        <v>2164</v>
      </c>
      <c r="H43">
        <v>11.83</v>
      </c>
      <c r="O43">
        <v>5369</v>
      </c>
      <c r="P43" t="s">
        <v>2326</v>
      </c>
      <c r="Q43">
        <v>5697</v>
      </c>
      <c r="R43" t="s">
        <v>2199</v>
      </c>
      <c r="S43" t="s">
        <v>2034</v>
      </c>
      <c r="T43">
        <v>202109</v>
      </c>
      <c r="U43" t="s">
        <v>186</v>
      </c>
      <c r="V43">
        <v>69235</v>
      </c>
    </row>
    <row r="44" spans="1:22">
      <c r="A44">
        <v>5369</v>
      </c>
      <c r="B44" t="s">
        <v>2326</v>
      </c>
      <c r="C44">
        <v>5697</v>
      </c>
      <c r="D44" t="s">
        <v>2199</v>
      </c>
      <c r="E44" t="s">
        <v>2034</v>
      </c>
      <c r="F44">
        <v>202207</v>
      </c>
      <c r="G44" t="s">
        <v>2165</v>
      </c>
      <c r="H44">
        <v>21.22</v>
      </c>
      <c r="O44">
        <v>5369</v>
      </c>
      <c r="P44" t="s">
        <v>2326</v>
      </c>
      <c r="Q44">
        <v>5697</v>
      </c>
      <c r="R44" t="s">
        <v>2199</v>
      </c>
      <c r="S44" t="s">
        <v>2034</v>
      </c>
      <c r="T44">
        <v>202110</v>
      </c>
      <c r="U44" t="s">
        <v>190</v>
      </c>
      <c r="V44">
        <v>710835</v>
      </c>
    </row>
    <row r="45" spans="1:22">
      <c r="A45">
        <v>5369</v>
      </c>
      <c r="B45" t="s">
        <v>2326</v>
      </c>
      <c r="C45">
        <v>5697</v>
      </c>
      <c r="D45" t="s">
        <v>2199</v>
      </c>
      <c r="E45" t="s">
        <v>2034</v>
      </c>
      <c r="F45">
        <v>202207</v>
      </c>
      <c r="G45" t="s">
        <v>2166</v>
      </c>
      <c r="H45">
        <v>14.37</v>
      </c>
      <c r="O45">
        <v>5369</v>
      </c>
      <c r="P45" t="s">
        <v>2326</v>
      </c>
      <c r="Q45">
        <v>5697</v>
      </c>
      <c r="R45" t="s">
        <v>2199</v>
      </c>
      <c r="S45" t="s">
        <v>2034</v>
      </c>
      <c r="T45">
        <v>202110</v>
      </c>
      <c r="U45" t="s">
        <v>191</v>
      </c>
      <c r="V45">
        <v>47693</v>
      </c>
    </row>
    <row r="46" spans="1:22">
      <c r="A46">
        <v>5369</v>
      </c>
      <c r="B46" t="s">
        <v>2326</v>
      </c>
      <c r="C46">
        <v>5697</v>
      </c>
      <c r="D46" t="s">
        <v>2199</v>
      </c>
      <c r="E46" t="s">
        <v>2034</v>
      </c>
      <c r="F46">
        <v>202207</v>
      </c>
      <c r="G46" t="s">
        <v>2169</v>
      </c>
      <c r="H46">
        <v>474163.86</v>
      </c>
      <c r="O46">
        <v>5369</v>
      </c>
      <c r="P46" t="s">
        <v>2326</v>
      </c>
      <c r="Q46">
        <v>5697</v>
      </c>
      <c r="R46" t="s">
        <v>2199</v>
      </c>
      <c r="S46" t="s">
        <v>2034</v>
      </c>
      <c r="T46">
        <v>202110</v>
      </c>
      <c r="U46" t="s">
        <v>178</v>
      </c>
      <c r="V46">
        <v>2342</v>
      </c>
    </row>
    <row r="47" spans="1:22">
      <c r="A47">
        <v>5369</v>
      </c>
      <c r="B47" t="s">
        <v>2326</v>
      </c>
      <c r="C47">
        <v>5697</v>
      </c>
      <c r="D47" t="s">
        <v>2199</v>
      </c>
      <c r="E47" t="s">
        <v>2034</v>
      </c>
      <c r="F47">
        <v>202106</v>
      </c>
      <c r="G47" t="s">
        <v>190</v>
      </c>
      <c r="H47">
        <v>1952354</v>
      </c>
      <c r="O47">
        <v>5369</v>
      </c>
      <c r="P47" t="s">
        <v>2326</v>
      </c>
      <c r="Q47">
        <v>5697</v>
      </c>
      <c r="R47" t="s">
        <v>2199</v>
      </c>
      <c r="S47" t="s">
        <v>2034</v>
      </c>
      <c r="T47">
        <v>202110</v>
      </c>
      <c r="U47" t="s">
        <v>180</v>
      </c>
      <c r="V47">
        <v>1550</v>
      </c>
    </row>
    <row r="48" spans="1:22">
      <c r="A48">
        <v>5369</v>
      </c>
      <c r="B48" t="s">
        <v>2326</v>
      </c>
      <c r="C48">
        <v>5697</v>
      </c>
      <c r="D48" t="s">
        <v>2199</v>
      </c>
      <c r="E48" t="s">
        <v>2034</v>
      </c>
      <c r="F48">
        <v>202106</v>
      </c>
      <c r="G48" t="s">
        <v>191</v>
      </c>
      <c r="H48">
        <v>98674</v>
      </c>
      <c r="O48">
        <v>5369</v>
      </c>
      <c r="P48" t="s">
        <v>2326</v>
      </c>
      <c r="Q48">
        <v>5697</v>
      </c>
      <c r="R48" t="s">
        <v>2199</v>
      </c>
      <c r="S48" t="s">
        <v>2034</v>
      </c>
      <c r="T48">
        <v>202110</v>
      </c>
      <c r="U48" t="s">
        <v>182</v>
      </c>
      <c r="V48">
        <v>710835</v>
      </c>
    </row>
    <row r="49" spans="1:22">
      <c r="A49">
        <v>5369</v>
      </c>
      <c r="B49" t="s">
        <v>2326</v>
      </c>
      <c r="C49">
        <v>5697</v>
      </c>
      <c r="D49" t="s">
        <v>2199</v>
      </c>
      <c r="E49" t="s">
        <v>2034</v>
      </c>
      <c r="F49">
        <v>202106</v>
      </c>
      <c r="G49" t="s">
        <v>176</v>
      </c>
      <c r="H49">
        <v>0</v>
      </c>
      <c r="O49">
        <v>5369</v>
      </c>
      <c r="P49" t="s">
        <v>2326</v>
      </c>
      <c r="Q49">
        <v>5697</v>
      </c>
      <c r="R49" t="s">
        <v>2199</v>
      </c>
      <c r="S49" t="s">
        <v>2034</v>
      </c>
      <c r="T49">
        <v>202110</v>
      </c>
      <c r="U49" t="s">
        <v>184</v>
      </c>
      <c r="V49">
        <v>47693</v>
      </c>
    </row>
    <row r="50" spans="1:22">
      <c r="A50">
        <v>5369</v>
      </c>
      <c r="B50" t="s">
        <v>2326</v>
      </c>
      <c r="C50">
        <v>5697</v>
      </c>
      <c r="D50" t="s">
        <v>2199</v>
      </c>
      <c r="E50" t="s">
        <v>2034</v>
      </c>
      <c r="F50">
        <v>202106</v>
      </c>
      <c r="G50" t="s">
        <v>178</v>
      </c>
      <c r="H50">
        <v>6400</v>
      </c>
      <c r="O50">
        <v>5369</v>
      </c>
      <c r="P50" t="s">
        <v>2326</v>
      </c>
      <c r="Q50">
        <v>5697</v>
      </c>
      <c r="R50" t="s">
        <v>2199</v>
      </c>
      <c r="S50" t="s">
        <v>2034</v>
      </c>
      <c r="T50">
        <v>202110</v>
      </c>
      <c r="U50" t="s">
        <v>186</v>
      </c>
      <c r="V50">
        <v>0</v>
      </c>
    </row>
    <row r="51" spans="1:22">
      <c r="A51">
        <v>5369</v>
      </c>
      <c r="B51" t="s">
        <v>2326</v>
      </c>
      <c r="C51">
        <v>5697</v>
      </c>
      <c r="D51" t="s">
        <v>2199</v>
      </c>
      <c r="E51" t="s">
        <v>2034</v>
      </c>
      <c r="F51">
        <v>202106</v>
      </c>
      <c r="G51" t="s">
        <v>180</v>
      </c>
      <c r="H51">
        <v>4000</v>
      </c>
      <c r="O51">
        <v>5369</v>
      </c>
      <c r="P51" t="s">
        <v>2326</v>
      </c>
      <c r="Q51">
        <v>5697</v>
      </c>
      <c r="R51" t="s">
        <v>2199</v>
      </c>
      <c r="S51" t="s">
        <v>2034</v>
      </c>
      <c r="T51">
        <v>202110</v>
      </c>
      <c r="U51" t="s">
        <v>190</v>
      </c>
      <c r="V51">
        <v>1072066</v>
      </c>
    </row>
    <row r="52" spans="1:22">
      <c r="A52">
        <v>5369</v>
      </c>
      <c r="B52" t="s">
        <v>2326</v>
      </c>
      <c r="C52">
        <v>5697</v>
      </c>
      <c r="D52" t="s">
        <v>2199</v>
      </c>
      <c r="E52" t="s">
        <v>2034</v>
      </c>
      <c r="F52">
        <v>202106</v>
      </c>
      <c r="G52" t="s">
        <v>182</v>
      </c>
      <c r="H52">
        <v>2018763</v>
      </c>
      <c r="O52">
        <v>5369</v>
      </c>
      <c r="P52" t="s">
        <v>2326</v>
      </c>
      <c r="Q52">
        <v>5697</v>
      </c>
      <c r="R52" t="s">
        <v>2199</v>
      </c>
      <c r="S52" t="s">
        <v>2034</v>
      </c>
      <c r="T52">
        <v>202110</v>
      </c>
      <c r="U52" t="s">
        <v>191</v>
      </c>
      <c r="V52">
        <v>103500</v>
      </c>
    </row>
    <row r="53" spans="1:22">
      <c r="A53">
        <v>5369</v>
      </c>
      <c r="B53" t="s">
        <v>2326</v>
      </c>
      <c r="C53">
        <v>5697</v>
      </c>
      <c r="D53" t="s">
        <v>2199</v>
      </c>
      <c r="E53" t="s">
        <v>2034</v>
      </c>
      <c r="F53">
        <v>202106</v>
      </c>
      <c r="G53" t="s">
        <v>184</v>
      </c>
      <c r="H53">
        <v>98674</v>
      </c>
      <c r="O53">
        <v>5369</v>
      </c>
      <c r="P53" t="s">
        <v>2326</v>
      </c>
      <c r="Q53">
        <v>5697</v>
      </c>
      <c r="R53" t="s">
        <v>2199</v>
      </c>
      <c r="S53" t="s">
        <v>2034</v>
      </c>
      <c r="T53">
        <v>202110</v>
      </c>
      <c r="U53" t="s">
        <v>178</v>
      </c>
      <c r="V53">
        <v>3098</v>
      </c>
    </row>
    <row r="54" spans="1:22">
      <c r="A54">
        <v>5369</v>
      </c>
      <c r="B54" t="s">
        <v>2326</v>
      </c>
      <c r="C54">
        <v>5697</v>
      </c>
      <c r="D54" t="s">
        <v>2199</v>
      </c>
      <c r="E54" t="s">
        <v>2034</v>
      </c>
      <c r="F54">
        <v>202106</v>
      </c>
      <c r="G54" t="s">
        <v>192</v>
      </c>
      <c r="H54">
        <v>0</v>
      </c>
      <c r="O54">
        <v>5369</v>
      </c>
      <c r="P54" t="s">
        <v>2326</v>
      </c>
      <c r="Q54">
        <v>5697</v>
      </c>
      <c r="R54" t="s">
        <v>2199</v>
      </c>
      <c r="S54" t="s">
        <v>2034</v>
      </c>
      <c r="T54">
        <v>202110</v>
      </c>
      <c r="U54" t="s">
        <v>180</v>
      </c>
      <c r="V54">
        <v>2250</v>
      </c>
    </row>
    <row r="55" spans="1:22">
      <c r="A55">
        <v>5369</v>
      </c>
      <c r="B55" t="s">
        <v>2326</v>
      </c>
      <c r="C55">
        <v>5697</v>
      </c>
      <c r="D55" t="s">
        <v>2199</v>
      </c>
      <c r="E55" t="s">
        <v>2034</v>
      </c>
      <c r="F55">
        <v>202106</v>
      </c>
      <c r="G55" t="s">
        <v>2168</v>
      </c>
      <c r="H55">
        <v>19915.72</v>
      </c>
      <c r="O55">
        <v>5369</v>
      </c>
      <c r="P55" t="s">
        <v>2326</v>
      </c>
      <c r="Q55">
        <v>5697</v>
      </c>
      <c r="R55" t="s">
        <v>2199</v>
      </c>
      <c r="S55" t="s">
        <v>2034</v>
      </c>
      <c r="T55">
        <v>202110</v>
      </c>
      <c r="U55" t="s">
        <v>182</v>
      </c>
      <c r="V55">
        <v>1072066</v>
      </c>
    </row>
    <row r="56" spans="1:22">
      <c r="A56">
        <v>5369</v>
      </c>
      <c r="B56" t="s">
        <v>2326</v>
      </c>
      <c r="C56">
        <v>5697</v>
      </c>
      <c r="D56" t="s">
        <v>2199</v>
      </c>
      <c r="E56" t="s">
        <v>2034</v>
      </c>
      <c r="F56">
        <v>202106</v>
      </c>
      <c r="G56" t="s">
        <v>186</v>
      </c>
      <c r="H56">
        <v>66409</v>
      </c>
      <c r="O56">
        <v>5369</v>
      </c>
      <c r="P56" t="s">
        <v>2326</v>
      </c>
      <c r="Q56">
        <v>5697</v>
      </c>
      <c r="R56" t="s">
        <v>2199</v>
      </c>
      <c r="S56" t="s">
        <v>2034</v>
      </c>
      <c r="T56">
        <v>202110</v>
      </c>
      <c r="U56" t="s">
        <v>184</v>
      </c>
      <c r="V56">
        <v>103500</v>
      </c>
    </row>
    <row r="57" spans="1:22">
      <c r="A57">
        <v>5369</v>
      </c>
      <c r="B57" t="s">
        <v>2326</v>
      </c>
      <c r="C57">
        <v>5697</v>
      </c>
      <c r="D57" t="s">
        <v>2199</v>
      </c>
      <c r="E57" t="s">
        <v>2034</v>
      </c>
      <c r="F57">
        <v>202106</v>
      </c>
      <c r="G57" t="s">
        <v>2167</v>
      </c>
      <c r="H57">
        <v>50.99</v>
      </c>
      <c r="O57">
        <v>5369</v>
      </c>
      <c r="P57" t="s">
        <v>2326</v>
      </c>
      <c r="Q57">
        <v>5697</v>
      </c>
      <c r="R57" t="s">
        <v>2199</v>
      </c>
      <c r="S57" t="s">
        <v>2034</v>
      </c>
      <c r="T57">
        <v>202110</v>
      </c>
      <c r="U57" t="s">
        <v>186</v>
      </c>
      <c r="V57">
        <v>0</v>
      </c>
    </row>
    <row r="58" spans="1:22">
      <c r="A58">
        <v>5369</v>
      </c>
      <c r="B58" t="s">
        <v>2326</v>
      </c>
      <c r="C58">
        <v>5697</v>
      </c>
      <c r="D58" t="s">
        <v>2199</v>
      </c>
      <c r="E58" t="s">
        <v>2034</v>
      </c>
      <c r="F58">
        <v>202106</v>
      </c>
      <c r="G58" t="s">
        <v>2164</v>
      </c>
      <c r="H58">
        <v>12.33</v>
      </c>
      <c r="O58">
        <v>5369</v>
      </c>
      <c r="P58" t="s">
        <v>2326</v>
      </c>
      <c r="Q58">
        <v>5697</v>
      </c>
      <c r="R58" t="s">
        <v>2199</v>
      </c>
      <c r="S58" t="s">
        <v>2034</v>
      </c>
      <c r="T58">
        <v>202110</v>
      </c>
      <c r="U58" t="s">
        <v>190</v>
      </c>
      <c r="V58">
        <v>2019883</v>
      </c>
    </row>
    <row r="59" spans="1:22">
      <c r="A59">
        <v>5369</v>
      </c>
      <c r="B59" t="s">
        <v>2326</v>
      </c>
      <c r="C59">
        <v>5697</v>
      </c>
      <c r="D59" t="s">
        <v>2199</v>
      </c>
      <c r="E59" t="s">
        <v>2034</v>
      </c>
      <c r="F59">
        <v>202106</v>
      </c>
      <c r="G59" t="s">
        <v>2165</v>
      </c>
      <c r="H59">
        <v>23.94</v>
      </c>
      <c r="O59">
        <v>5369</v>
      </c>
      <c r="P59" t="s">
        <v>2326</v>
      </c>
      <c r="Q59">
        <v>5697</v>
      </c>
      <c r="R59" t="s">
        <v>2199</v>
      </c>
      <c r="S59" t="s">
        <v>2034</v>
      </c>
      <c r="T59">
        <v>202110</v>
      </c>
      <c r="U59" t="s">
        <v>191</v>
      </c>
      <c r="V59">
        <v>130421</v>
      </c>
    </row>
    <row r="60" spans="1:22">
      <c r="A60">
        <v>5369</v>
      </c>
      <c r="B60" t="s">
        <v>2326</v>
      </c>
      <c r="C60">
        <v>5697</v>
      </c>
      <c r="D60" t="s">
        <v>2199</v>
      </c>
      <c r="E60" t="s">
        <v>2034</v>
      </c>
      <c r="F60">
        <v>202106</v>
      </c>
      <c r="G60" t="s">
        <v>2166</v>
      </c>
      <c r="H60">
        <v>10.17</v>
      </c>
      <c r="O60">
        <v>5369</v>
      </c>
      <c r="P60" t="s">
        <v>2326</v>
      </c>
      <c r="Q60">
        <v>5697</v>
      </c>
      <c r="R60" t="s">
        <v>2199</v>
      </c>
      <c r="S60" t="s">
        <v>2034</v>
      </c>
      <c r="T60">
        <v>202110</v>
      </c>
      <c r="U60" t="s">
        <v>178</v>
      </c>
      <c r="V60">
        <v>6518</v>
      </c>
    </row>
    <row r="61" spans="1:22">
      <c r="A61">
        <v>5369</v>
      </c>
      <c r="B61" t="s">
        <v>2326</v>
      </c>
      <c r="C61">
        <v>5697</v>
      </c>
      <c r="D61" t="s">
        <v>2199</v>
      </c>
      <c r="E61" t="s">
        <v>2034</v>
      </c>
      <c r="F61">
        <v>202106</v>
      </c>
      <c r="G61" t="s">
        <v>2169</v>
      </c>
      <c r="H61">
        <v>320703.95</v>
      </c>
      <c r="O61">
        <v>5369</v>
      </c>
      <c r="P61" t="s">
        <v>2326</v>
      </c>
      <c r="Q61">
        <v>5697</v>
      </c>
      <c r="R61" t="s">
        <v>2199</v>
      </c>
      <c r="S61" t="s">
        <v>2034</v>
      </c>
      <c r="T61">
        <v>202110</v>
      </c>
      <c r="U61" t="s">
        <v>180</v>
      </c>
      <c r="V61">
        <v>4000</v>
      </c>
    </row>
    <row r="62" spans="1:22">
      <c r="A62">
        <v>5369</v>
      </c>
      <c r="B62" t="s">
        <v>2326</v>
      </c>
      <c r="C62">
        <v>5697</v>
      </c>
      <c r="D62" t="s">
        <v>2199</v>
      </c>
      <c r="E62" t="s">
        <v>2034</v>
      </c>
      <c r="F62">
        <v>202106</v>
      </c>
      <c r="G62" t="s">
        <v>190</v>
      </c>
      <c r="H62">
        <v>1194899</v>
      </c>
      <c r="O62">
        <v>5369</v>
      </c>
      <c r="P62" t="s">
        <v>2326</v>
      </c>
      <c r="Q62">
        <v>5697</v>
      </c>
      <c r="R62" t="s">
        <v>2199</v>
      </c>
      <c r="S62" t="s">
        <v>2034</v>
      </c>
      <c r="T62">
        <v>202110</v>
      </c>
      <c r="U62" t="s">
        <v>182</v>
      </c>
      <c r="V62">
        <v>2089103</v>
      </c>
    </row>
    <row r="63" spans="1:22">
      <c r="A63">
        <v>5369</v>
      </c>
      <c r="B63" t="s">
        <v>2326</v>
      </c>
      <c r="C63">
        <v>5697</v>
      </c>
      <c r="D63" t="s">
        <v>2199</v>
      </c>
      <c r="E63" t="s">
        <v>2034</v>
      </c>
      <c r="F63">
        <v>202106</v>
      </c>
      <c r="G63" t="s">
        <v>191</v>
      </c>
      <c r="H63">
        <v>108173</v>
      </c>
      <c r="O63">
        <v>5369</v>
      </c>
      <c r="P63" t="s">
        <v>2326</v>
      </c>
      <c r="Q63">
        <v>5697</v>
      </c>
      <c r="R63" t="s">
        <v>2199</v>
      </c>
      <c r="S63" t="s">
        <v>2034</v>
      </c>
      <c r="T63">
        <v>202110</v>
      </c>
      <c r="U63" t="s">
        <v>184</v>
      </c>
      <c r="V63">
        <v>130421</v>
      </c>
    </row>
    <row r="64" spans="1:22">
      <c r="A64">
        <v>5369</v>
      </c>
      <c r="B64" t="s">
        <v>2326</v>
      </c>
      <c r="C64">
        <v>5697</v>
      </c>
      <c r="D64" t="s">
        <v>2199</v>
      </c>
      <c r="E64" t="s">
        <v>2034</v>
      </c>
      <c r="F64">
        <v>202106</v>
      </c>
      <c r="G64" t="s">
        <v>176</v>
      </c>
      <c r="H64">
        <v>0</v>
      </c>
      <c r="O64">
        <v>5369</v>
      </c>
      <c r="P64" t="s">
        <v>2326</v>
      </c>
      <c r="Q64">
        <v>5697</v>
      </c>
      <c r="R64" t="s">
        <v>2199</v>
      </c>
      <c r="S64" t="s">
        <v>2034</v>
      </c>
      <c r="T64">
        <v>202110</v>
      </c>
      <c r="U64" t="s">
        <v>186</v>
      </c>
      <c r="V64">
        <v>69220</v>
      </c>
    </row>
    <row r="65" spans="1:22">
      <c r="A65">
        <v>5369</v>
      </c>
      <c r="B65" t="s">
        <v>2326</v>
      </c>
      <c r="C65">
        <v>5697</v>
      </c>
      <c r="D65" t="s">
        <v>2199</v>
      </c>
      <c r="E65" t="s">
        <v>2034</v>
      </c>
      <c r="F65">
        <v>202106</v>
      </c>
      <c r="G65" t="s">
        <v>178</v>
      </c>
      <c r="H65">
        <v>3415</v>
      </c>
      <c r="O65">
        <v>5369</v>
      </c>
      <c r="P65" t="s">
        <v>2326</v>
      </c>
      <c r="Q65">
        <v>5697</v>
      </c>
      <c r="R65" t="s">
        <v>2199</v>
      </c>
      <c r="S65" t="s">
        <v>2034</v>
      </c>
      <c r="T65">
        <v>202111</v>
      </c>
      <c r="U65" t="s">
        <v>190</v>
      </c>
      <c r="V65">
        <v>2005496</v>
      </c>
    </row>
    <row r="66" spans="1:22">
      <c r="A66">
        <v>5369</v>
      </c>
      <c r="B66" t="s">
        <v>2326</v>
      </c>
      <c r="C66">
        <v>5697</v>
      </c>
      <c r="D66" t="s">
        <v>2199</v>
      </c>
      <c r="E66" t="s">
        <v>2034</v>
      </c>
      <c r="F66">
        <v>202106</v>
      </c>
      <c r="G66" t="s">
        <v>180</v>
      </c>
      <c r="H66">
        <v>2317</v>
      </c>
      <c r="O66">
        <v>5369</v>
      </c>
      <c r="P66" t="s">
        <v>2326</v>
      </c>
      <c r="Q66">
        <v>5697</v>
      </c>
      <c r="R66" t="s">
        <v>2199</v>
      </c>
      <c r="S66" t="s">
        <v>2034</v>
      </c>
      <c r="T66">
        <v>202111</v>
      </c>
      <c r="U66" t="s">
        <v>191</v>
      </c>
      <c r="V66">
        <v>118725</v>
      </c>
    </row>
    <row r="67" spans="1:22">
      <c r="A67">
        <v>5369</v>
      </c>
      <c r="B67" t="s">
        <v>2326</v>
      </c>
      <c r="C67">
        <v>5697</v>
      </c>
      <c r="D67" t="s">
        <v>2199</v>
      </c>
      <c r="E67" t="s">
        <v>2034</v>
      </c>
      <c r="F67">
        <v>202106</v>
      </c>
      <c r="G67" t="s">
        <v>182</v>
      </c>
      <c r="H67">
        <v>1194899</v>
      </c>
      <c r="O67">
        <v>5369</v>
      </c>
      <c r="P67" t="s">
        <v>2326</v>
      </c>
      <c r="Q67">
        <v>5697</v>
      </c>
      <c r="R67" t="s">
        <v>2199</v>
      </c>
      <c r="S67" t="s">
        <v>2034</v>
      </c>
      <c r="T67">
        <v>202111</v>
      </c>
      <c r="U67" t="s">
        <v>178</v>
      </c>
      <c r="V67">
        <v>6639</v>
      </c>
    </row>
    <row r="68" spans="1:22">
      <c r="A68">
        <v>5369</v>
      </c>
      <c r="B68" t="s">
        <v>2326</v>
      </c>
      <c r="C68">
        <v>5697</v>
      </c>
      <c r="D68" t="s">
        <v>2199</v>
      </c>
      <c r="E68" t="s">
        <v>2034</v>
      </c>
      <c r="F68">
        <v>202106</v>
      </c>
      <c r="G68" t="s">
        <v>184</v>
      </c>
      <c r="H68">
        <v>108173</v>
      </c>
      <c r="O68">
        <v>5369</v>
      </c>
      <c r="P68" t="s">
        <v>2326</v>
      </c>
      <c r="Q68">
        <v>5697</v>
      </c>
      <c r="R68" t="s">
        <v>2199</v>
      </c>
      <c r="S68" t="s">
        <v>2034</v>
      </c>
      <c r="T68">
        <v>202111</v>
      </c>
      <c r="U68" t="s">
        <v>180</v>
      </c>
      <c r="V68">
        <v>4000</v>
      </c>
    </row>
    <row r="69" spans="1:22">
      <c r="A69">
        <v>5369</v>
      </c>
      <c r="B69" t="s">
        <v>2326</v>
      </c>
      <c r="C69">
        <v>5697</v>
      </c>
      <c r="D69" t="s">
        <v>2199</v>
      </c>
      <c r="E69" t="s">
        <v>2034</v>
      </c>
      <c r="F69">
        <v>202106</v>
      </c>
      <c r="G69" t="s">
        <v>192</v>
      </c>
      <c r="H69">
        <v>0</v>
      </c>
      <c r="O69">
        <v>5369</v>
      </c>
      <c r="P69" t="s">
        <v>2326</v>
      </c>
      <c r="Q69">
        <v>5697</v>
      </c>
      <c r="R69" t="s">
        <v>2199</v>
      </c>
      <c r="S69" t="s">
        <v>2034</v>
      </c>
      <c r="T69">
        <v>202111</v>
      </c>
      <c r="U69" t="s">
        <v>182</v>
      </c>
      <c r="V69">
        <v>2079198</v>
      </c>
    </row>
    <row r="70" spans="1:22">
      <c r="A70">
        <v>5369</v>
      </c>
      <c r="B70" t="s">
        <v>2326</v>
      </c>
      <c r="C70">
        <v>5697</v>
      </c>
      <c r="D70" t="s">
        <v>2199</v>
      </c>
      <c r="E70" t="s">
        <v>2034</v>
      </c>
      <c r="F70">
        <v>202106</v>
      </c>
      <c r="G70" t="s">
        <v>2168</v>
      </c>
      <c r="H70">
        <v>13091.41</v>
      </c>
      <c r="O70">
        <v>5369</v>
      </c>
      <c r="P70" t="s">
        <v>2326</v>
      </c>
      <c r="Q70">
        <v>5697</v>
      </c>
      <c r="R70" t="s">
        <v>2199</v>
      </c>
      <c r="S70" t="s">
        <v>2034</v>
      </c>
      <c r="T70">
        <v>202111</v>
      </c>
      <c r="U70" t="s">
        <v>184</v>
      </c>
      <c r="V70">
        <v>118725</v>
      </c>
    </row>
    <row r="71" spans="1:22">
      <c r="A71">
        <v>5369</v>
      </c>
      <c r="B71" t="s">
        <v>2326</v>
      </c>
      <c r="C71">
        <v>5697</v>
      </c>
      <c r="D71" t="s">
        <v>2199</v>
      </c>
      <c r="E71" t="s">
        <v>2034</v>
      </c>
      <c r="F71">
        <v>202106</v>
      </c>
      <c r="G71" t="s">
        <v>186</v>
      </c>
      <c r="H71">
        <v>0</v>
      </c>
      <c r="O71">
        <v>5369</v>
      </c>
      <c r="P71" t="s">
        <v>2326</v>
      </c>
      <c r="Q71">
        <v>5697</v>
      </c>
      <c r="R71" t="s">
        <v>2199</v>
      </c>
      <c r="S71" t="s">
        <v>2034</v>
      </c>
      <c r="T71">
        <v>202111</v>
      </c>
      <c r="U71" t="s">
        <v>186</v>
      </c>
      <c r="V71">
        <v>73702</v>
      </c>
    </row>
    <row r="72" spans="1:22">
      <c r="A72">
        <v>5369</v>
      </c>
      <c r="B72" t="s">
        <v>2326</v>
      </c>
      <c r="C72">
        <v>5697</v>
      </c>
      <c r="D72" t="s">
        <v>2199</v>
      </c>
      <c r="E72" t="s">
        <v>2034</v>
      </c>
      <c r="F72">
        <v>202106</v>
      </c>
      <c r="G72" t="s">
        <v>2167</v>
      </c>
      <c r="H72">
        <v>50.99</v>
      </c>
      <c r="O72">
        <v>5369</v>
      </c>
      <c r="P72" t="s">
        <v>2326</v>
      </c>
      <c r="Q72">
        <v>5697</v>
      </c>
      <c r="R72" t="s">
        <v>2199</v>
      </c>
      <c r="S72" t="s">
        <v>2034</v>
      </c>
      <c r="T72">
        <v>202111</v>
      </c>
      <c r="U72" t="s">
        <v>190</v>
      </c>
      <c r="V72">
        <v>1108262</v>
      </c>
    </row>
    <row r="73" spans="1:22">
      <c r="A73">
        <v>5369</v>
      </c>
      <c r="B73" t="s">
        <v>2326</v>
      </c>
      <c r="C73">
        <v>5697</v>
      </c>
      <c r="D73" t="s">
        <v>2199</v>
      </c>
      <c r="E73" t="s">
        <v>2034</v>
      </c>
      <c r="F73">
        <v>202106</v>
      </c>
      <c r="G73" t="s">
        <v>2164</v>
      </c>
      <c r="H73">
        <v>12.33</v>
      </c>
      <c r="O73">
        <v>5369</v>
      </c>
      <c r="P73" t="s">
        <v>2326</v>
      </c>
      <c r="Q73">
        <v>5697</v>
      </c>
      <c r="R73" t="s">
        <v>2199</v>
      </c>
      <c r="S73" t="s">
        <v>2034</v>
      </c>
      <c r="T73">
        <v>202111</v>
      </c>
      <c r="U73" t="s">
        <v>191</v>
      </c>
      <c r="V73">
        <v>102166</v>
      </c>
    </row>
    <row r="74" spans="1:22">
      <c r="A74">
        <v>5369</v>
      </c>
      <c r="B74" t="s">
        <v>2326</v>
      </c>
      <c r="C74">
        <v>5697</v>
      </c>
      <c r="D74" t="s">
        <v>2199</v>
      </c>
      <c r="E74" t="s">
        <v>2034</v>
      </c>
      <c r="F74">
        <v>202106</v>
      </c>
      <c r="G74" t="s">
        <v>2165</v>
      </c>
      <c r="H74">
        <v>23.94</v>
      </c>
      <c r="O74">
        <v>5369</v>
      </c>
      <c r="P74" t="s">
        <v>2326</v>
      </c>
      <c r="Q74">
        <v>5697</v>
      </c>
      <c r="R74" t="s">
        <v>2199</v>
      </c>
      <c r="S74" t="s">
        <v>2034</v>
      </c>
      <c r="T74">
        <v>202111</v>
      </c>
      <c r="U74" t="s">
        <v>178</v>
      </c>
      <c r="V74">
        <v>3026</v>
      </c>
    </row>
    <row r="75" spans="1:22">
      <c r="A75">
        <v>5369</v>
      </c>
      <c r="B75" t="s">
        <v>2326</v>
      </c>
      <c r="C75">
        <v>5697</v>
      </c>
      <c r="D75" t="s">
        <v>2199</v>
      </c>
      <c r="E75" t="s">
        <v>2034</v>
      </c>
      <c r="F75">
        <v>202106</v>
      </c>
      <c r="G75" t="s">
        <v>2166</v>
      </c>
      <c r="H75">
        <v>10.17</v>
      </c>
      <c r="O75">
        <v>5369</v>
      </c>
      <c r="P75" t="s">
        <v>2326</v>
      </c>
      <c r="Q75">
        <v>5697</v>
      </c>
      <c r="R75" t="s">
        <v>2199</v>
      </c>
      <c r="S75" t="s">
        <v>2034</v>
      </c>
      <c r="T75">
        <v>202111</v>
      </c>
      <c r="U75" t="s">
        <v>180</v>
      </c>
      <c r="V75">
        <v>2250</v>
      </c>
    </row>
    <row r="76" spans="1:22">
      <c r="A76">
        <v>5369</v>
      </c>
      <c r="B76" t="s">
        <v>2326</v>
      </c>
      <c r="C76">
        <v>5697</v>
      </c>
      <c r="D76" t="s">
        <v>2199</v>
      </c>
      <c r="E76" t="s">
        <v>2034</v>
      </c>
      <c r="F76">
        <v>202106</v>
      </c>
      <c r="G76" t="s">
        <v>2169</v>
      </c>
      <c r="H76">
        <v>221920.4</v>
      </c>
      <c r="O76">
        <v>5369</v>
      </c>
      <c r="P76" t="s">
        <v>2326</v>
      </c>
      <c r="Q76">
        <v>5697</v>
      </c>
      <c r="R76" t="s">
        <v>2199</v>
      </c>
      <c r="S76" t="s">
        <v>2034</v>
      </c>
      <c r="T76">
        <v>202111</v>
      </c>
      <c r="U76" t="s">
        <v>182</v>
      </c>
      <c r="V76">
        <v>1108262</v>
      </c>
    </row>
    <row r="77" spans="1:22">
      <c r="A77">
        <v>5369</v>
      </c>
      <c r="B77" t="s">
        <v>2326</v>
      </c>
      <c r="C77">
        <v>5697</v>
      </c>
      <c r="D77" t="s">
        <v>2199</v>
      </c>
      <c r="E77" t="s">
        <v>2034</v>
      </c>
      <c r="F77">
        <v>202106</v>
      </c>
      <c r="G77" t="s">
        <v>190</v>
      </c>
      <c r="H77">
        <v>723327</v>
      </c>
      <c r="O77">
        <v>5369</v>
      </c>
      <c r="P77" t="s">
        <v>2326</v>
      </c>
      <c r="Q77">
        <v>5697</v>
      </c>
      <c r="R77" t="s">
        <v>2199</v>
      </c>
      <c r="S77" t="s">
        <v>2034</v>
      </c>
      <c r="T77">
        <v>202111</v>
      </c>
      <c r="U77" t="s">
        <v>184</v>
      </c>
      <c r="V77">
        <v>102166</v>
      </c>
    </row>
    <row r="78" spans="1:22">
      <c r="A78">
        <v>5369</v>
      </c>
      <c r="B78" t="s">
        <v>2326</v>
      </c>
      <c r="C78">
        <v>5697</v>
      </c>
      <c r="D78" t="s">
        <v>2199</v>
      </c>
      <c r="E78" t="s">
        <v>2034</v>
      </c>
      <c r="F78">
        <v>202106</v>
      </c>
      <c r="G78" t="s">
        <v>191</v>
      </c>
      <c r="H78">
        <v>48420</v>
      </c>
      <c r="O78">
        <v>5369</v>
      </c>
      <c r="P78" t="s">
        <v>2326</v>
      </c>
      <c r="Q78">
        <v>5697</v>
      </c>
      <c r="R78" t="s">
        <v>2199</v>
      </c>
      <c r="S78" t="s">
        <v>2034</v>
      </c>
      <c r="T78">
        <v>202111</v>
      </c>
      <c r="U78" t="s">
        <v>186</v>
      </c>
      <c r="V78">
        <v>0</v>
      </c>
    </row>
    <row r="79" spans="1:22">
      <c r="A79">
        <v>5369</v>
      </c>
      <c r="B79" t="s">
        <v>2326</v>
      </c>
      <c r="C79">
        <v>5697</v>
      </c>
      <c r="D79" t="s">
        <v>2199</v>
      </c>
      <c r="E79" t="s">
        <v>2034</v>
      </c>
      <c r="F79">
        <v>202106</v>
      </c>
      <c r="G79" t="s">
        <v>176</v>
      </c>
      <c r="H79">
        <v>-6629.4</v>
      </c>
      <c r="O79">
        <v>5369</v>
      </c>
      <c r="P79" t="s">
        <v>2326</v>
      </c>
      <c r="Q79">
        <v>5697</v>
      </c>
      <c r="R79" t="s">
        <v>2199</v>
      </c>
      <c r="S79" t="s">
        <v>2034</v>
      </c>
      <c r="T79">
        <v>202111</v>
      </c>
      <c r="U79" t="s">
        <v>190</v>
      </c>
      <c r="V79">
        <v>725280</v>
      </c>
    </row>
    <row r="80" spans="1:22">
      <c r="A80">
        <v>5369</v>
      </c>
      <c r="B80" t="s">
        <v>2326</v>
      </c>
      <c r="C80">
        <v>5697</v>
      </c>
      <c r="D80" t="s">
        <v>2199</v>
      </c>
      <c r="E80" t="s">
        <v>2034</v>
      </c>
      <c r="F80">
        <v>202106</v>
      </c>
      <c r="G80" t="s">
        <v>178</v>
      </c>
      <c r="H80">
        <v>2297</v>
      </c>
      <c r="O80">
        <v>5369</v>
      </c>
      <c r="P80" t="s">
        <v>2326</v>
      </c>
      <c r="Q80">
        <v>5697</v>
      </c>
      <c r="R80" t="s">
        <v>2199</v>
      </c>
      <c r="S80" t="s">
        <v>2034</v>
      </c>
      <c r="T80">
        <v>202111</v>
      </c>
      <c r="U80" t="s">
        <v>191</v>
      </c>
      <c r="V80">
        <v>46077</v>
      </c>
    </row>
    <row r="81" spans="1:22">
      <c r="A81">
        <v>5369</v>
      </c>
      <c r="B81" t="s">
        <v>2326</v>
      </c>
      <c r="C81">
        <v>5697</v>
      </c>
      <c r="D81" t="s">
        <v>2199</v>
      </c>
      <c r="E81" t="s">
        <v>2034</v>
      </c>
      <c r="F81">
        <v>202106</v>
      </c>
      <c r="G81" t="s">
        <v>180</v>
      </c>
      <c r="H81">
        <v>1550</v>
      </c>
      <c r="O81">
        <v>5369</v>
      </c>
      <c r="P81" t="s">
        <v>2326</v>
      </c>
      <c r="Q81">
        <v>5697</v>
      </c>
      <c r="R81" t="s">
        <v>2199</v>
      </c>
      <c r="S81" t="s">
        <v>2034</v>
      </c>
      <c r="T81">
        <v>202111</v>
      </c>
      <c r="U81" t="s">
        <v>178</v>
      </c>
      <c r="V81">
        <v>2384</v>
      </c>
    </row>
    <row r="82" spans="1:22">
      <c r="A82">
        <v>5369</v>
      </c>
      <c r="B82" t="s">
        <v>2326</v>
      </c>
      <c r="C82">
        <v>5697</v>
      </c>
      <c r="D82" t="s">
        <v>2199</v>
      </c>
      <c r="E82" t="s">
        <v>2034</v>
      </c>
      <c r="F82">
        <v>202106</v>
      </c>
      <c r="G82" t="s">
        <v>182</v>
      </c>
      <c r="H82">
        <v>723327</v>
      </c>
      <c r="O82">
        <v>5369</v>
      </c>
      <c r="P82" t="s">
        <v>2326</v>
      </c>
      <c r="Q82">
        <v>5697</v>
      </c>
      <c r="R82" t="s">
        <v>2199</v>
      </c>
      <c r="S82" t="s">
        <v>2034</v>
      </c>
      <c r="T82">
        <v>202111</v>
      </c>
      <c r="U82" t="s">
        <v>180</v>
      </c>
      <c r="V82">
        <v>1550</v>
      </c>
    </row>
    <row r="83" spans="1:22">
      <c r="A83">
        <v>5369</v>
      </c>
      <c r="B83" t="s">
        <v>2326</v>
      </c>
      <c r="C83">
        <v>5697</v>
      </c>
      <c r="D83" t="s">
        <v>2199</v>
      </c>
      <c r="E83" t="s">
        <v>2034</v>
      </c>
      <c r="F83">
        <v>202106</v>
      </c>
      <c r="G83" t="s">
        <v>184</v>
      </c>
      <c r="H83">
        <v>48420</v>
      </c>
      <c r="O83">
        <v>5369</v>
      </c>
      <c r="P83" t="s">
        <v>2326</v>
      </c>
      <c r="Q83">
        <v>5697</v>
      </c>
      <c r="R83" t="s">
        <v>2199</v>
      </c>
      <c r="S83" t="s">
        <v>2034</v>
      </c>
      <c r="T83">
        <v>202111</v>
      </c>
      <c r="U83" t="s">
        <v>182</v>
      </c>
      <c r="V83">
        <v>725280</v>
      </c>
    </row>
    <row r="84" spans="1:22">
      <c r="A84">
        <v>5369</v>
      </c>
      <c r="B84" t="s">
        <v>2326</v>
      </c>
      <c r="C84">
        <v>5697</v>
      </c>
      <c r="D84" t="s">
        <v>2199</v>
      </c>
      <c r="E84" t="s">
        <v>2034</v>
      </c>
      <c r="F84">
        <v>202106</v>
      </c>
      <c r="G84" t="s">
        <v>192</v>
      </c>
      <c r="H84">
        <v>0</v>
      </c>
      <c r="O84">
        <v>5369</v>
      </c>
      <c r="P84" t="s">
        <v>2326</v>
      </c>
      <c r="Q84">
        <v>5697</v>
      </c>
      <c r="R84" t="s">
        <v>2199</v>
      </c>
      <c r="S84" t="s">
        <v>2034</v>
      </c>
      <c r="T84">
        <v>202111</v>
      </c>
      <c r="U84" t="s">
        <v>184</v>
      </c>
      <c r="V84">
        <v>46077</v>
      </c>
    </row>
    <row r="85" spans="1:22">
      <c r="A85">
        <v>5369</v>
      </c>
      <c r="B85" t="s">
        <v>2326</v>
      </c>
      <c r="C85">
        <v>5697</v>
      </c>
      <c r="D85" t="s">
        <v>2199</v>
      </c>
      <c r="E85" t="s">
        <v>2034</v>
      </c>
      <c r="F85">
        <v>202106</v>
      </c>
      <c r="G85" t="s">
        <v>2168</v>
      </c>
      <c r="H85">
        <v>7457.01</v>
      </c>
      <c r="O85">
        <v>5369</v>
      </c>
      <c r="P85" t="s">
        <v>2326</v>
      </c>
      <c r="Q85">
        <v>5697</v>
      </c>
      <c r="R85" t="s">
        <v>2199</v>
      </c>
      <c r="S85" t="s">
        <v>2034</v>
      </c>
      <c r="T85">
        <v>202111</v>
      </c>
      <c r="U85" t="s">
        <v>186</v>
      </c>
      <c r="V85">
        <v>0</v>
      </c>
    </row>
    <row r="86" spans="1:22">
      <c r="A86">
        <v>5369</v>
      </c>
      <c r="B86" t="s">
        <v>2326</v>
      </c>
      <c r="C86">
        <v>5697</v>
      </c>
      <c r="D86" t="s">
        <v>2199</v>
      </c>
      <c r="E86" t="s">
        <v>2034</v>
      </c>
      <c r="F86">
        <v>202106</v>
      </c>
      <c r="G86" t="s">
        <v>186</v>
      </c>
      <c r="H86">
        <v>0</v>
      </c>
      <c r="O86">
        <v>5369</v>
      </c>
      <c r="P86" t="s">
        <v>2326</v>
      </c>
      <c r="Q86">
        <v>5697</v>
      </c>
      <c r="R86" t="s">
        <v>2199</v>
      </c>
      <c r="S86" t="s">
        <v>2034</v>
      </c>
      <c r="T86">
        <v>202112</v>
      </c>
      <c r="U86" t="s">
        <v>190</v>
      </c>
      <c r="V86">
        <v>746302</v>
      </c>
    </row>
    <row r="87" spans="1:22">
      <c r="A87">
        <v>5369</v>
      </c>
      <c r="B87" t="s">
        <v>2326</v>
      </c>
      <c r="C87">
        <v>5697</v>
      </c>
      <c r="D87" t="s">
        <v>2199</v>
      </c>
      <c r="E87" t="s">
        <v>2034</v>
      </c>
      <c r="F87">
        <v>202106</v>
      </c>
      <c r="G87" t="s">
        <v>2167</v>
      </c>
      <c r="H87">
        <v>50.99</v>
      </c>
      <c r="O87">
        <v>5369</v>
      </c>
      <c r="P87" t="s">
        <v>2326</v>
      </c>
      <c r="Q87">
        <v>5697</v>
      </c>
      <c r="R87" t="s">
        <v>2199</v>
      </c>
      <c r="S87" t="s">
        <v>2034</v>
      </c>
      <c r="T87">
        <v>202112</v>
      </c>
      <c r="U87" t="s">
        <v>191</v>
      </c>
      <c r="V87">
        <v>46832</v>
      </c>
    </row>
    <row r="88" spans="1:22">
      <c r="A88">
        <v>5369</v>
      </c>
      <c r="B88" t="s">
        <v>2326</v>
      </c>
      <c r="C88">
        <v>5697</v>
      </c>
      <c r="D88" t="s">
        <v>2199</v>
      </c>
      <c r="E88" t="s">
        <v>2034</v>
      </c>
      <c r="F88">
        <v>202106</v>
      </c>
      <c r="G88" t="s">
        <v>2164</v>
      </c>
      <c r="H88">
        <v>12.33</v>
      </c>
      <c r="O88">
        <v>5369</v>
      </c>
      <c r="P88" t="s">
        <v>2326</v>
      </c>
      <c r="Q88">
        <v>5697</v>
      </c>
      <c r="R88" t="s">
        <v>2199</v>
      </c>
      <c r="S88" t="s">
        <v>2034</v>
      </c>
      <c r="T88">
        <v>202112</v>
      </c>
      <c r="U88" t="s">
        <v>178</v>
      </c>
      <c r="V88">
        <v>2559</v>
      </c>
    </row>
    <row r="89" spans="1:22">
      <c r="A89">
        <v>5369</v>
      </c>
      <c r="B89" t="s">
        <v>2326</v>
      </c>
      <c r="C89">
        <v>5697</v>
      </c>
      <c r="D89" t="s">
        <v>2199</v>
      </c>
      <c r="E89" t="s">
        <v>2034</v>
      </c>
      <c r="F89">
        <v>202106</v>
      </c>
      <c r="G89" t="s">
        <v>2165</v>
      </c>
      <c r="H89">
        <v>23.94</v>
      </c>
      <c r="O89">
        <v>5369</v>
      </c>
      <c r="P89" t="s">
        <v>2326</v>
      </c>
      <c r="Q89">
        <v>5697</v>
      </c>
      <c r="R89" t="s">
        <v>2199</v>
      </c>
      <c r="S89" t="s">
        <v>2034</v>
      </c>
      <c r="T89">
        <v>202112</v>
      </c>
      <c r="U89" t="s">
        <v>180</v>
      </c>
      <c r="V89">
        <v>1550</v>
      </c>
    </row>
    <row r="90" spans="1:22">
      <c r="A90">
        <v>5369</v>
      </c>
      <c r="B90" t="s">
        <v>2326</v>
      </c>
      <c r="C90">
        <v>5697</v>
      </c>
      <c r="D90" t="s">
        <v>2199</v>
      </c>
      <c r="E90" t="s">
        <v>2034</v>
      </c>
      <c r="F90">
        <v>202106</v>
      </c>
      <c r="G90" t="s">
        <v>2166</v>
      </c>
      <c r="H90">
        <v>10.17</v>
      </c>
      <c r="O90">
        <v>5369</v>
      </c>
      <c r="P90" t="s">
        <v>2326</v>
      </c>
      <c r="Q90">
        <v>5697</v>
      </c>
      <c r="R90" t="s">
        <v>2199</v>
      </c>
      <c r="S90" t="s">
        <v>2034</v>
      </c>
      <c r="T90">
        <v>202112</v>
      </c>
      <c r="U90" t="s">
        <v>182</v>
      </c>
      <c r="V90">
        <v>746302</v>
      </c>
    </row>
    <row r="91" spans="1:22">
      <c r="A91">
        <v>5369</v>
      </c>
      <c r="B91" t="s">
        <v>2326</v>
      </c>
      <c r="C91">
        <v>5697</v>
      </c>
      <c r="D91" t="s">
        <v>2199</v>
      </c>
      <c r="E91" t="s">
        <v>2034</v>
      </c>
      <c r="F91">
        <v>202106</v>
      </c>
      <c r="G91" t="s">
        <v>2169</v>
      </c>
      <c r="H91">
        <v>113451.22</v>
      </c>
      <c r="O91">
        <v>5369</v>
      </c>
      <c r="P91" t="s">
        <v>2326</v>
      </c>
      <c r="Q91">
        <v>5697</v>
      </c>
      <c r="R91" t="s">
        <v>2199</v>
      </c>
      <c r="S91" t="s">
        <v>2034</v>
      </c>
      <c r="T91">
        <v>202112</v>
      </c>
      <c r="U91" t="s">
        <v>184</v>
      </c>
      <c r="V91">
        <v>46832</v>
      </c>
    </row>
    <row r="92" spans="1:22">
      <c r="A92">
        <v>5369</v>
      </c>
      <c r="B92" t="s">
        <v>2326</v>
      </c>
      <c r="C92">
        <v>5697</v>
      </c>
      <c r="D92" t="s">
        <v>2199</v>
      </c>
      <c r="E92" t="s">
        <v>2034</v>
      </c>
      <c r="F92">
        <v>202107</v>
      </c>
      <c r="G92" t="s">
        <v>190</v>
      </c>
      <c r="H92">
        <v>751831</v>
      </c>
      <c r="O92">
        <v>5369</v>
      </c>
      <c r="P92" t="s">
        <v>2326</v>
      </c>
      <c r="Q92">
        <v>5697</v>
      </c>
      <c r="R92" t="s">
        <v>2199</v>
      </c>
      <c r="S92" t="s">
        <v>2034</v>
      </c>
      <c r="T92">
        <v>202112</v>
      </c>
      <c r="U92" t="s">
        <v>186</v>
      </c>
      <c r="V92">
        <v>0</v>
      </c>
    </row>
    <row r="93" spans="1:22">
      <c r="A93">
        <v>5369</v>
      </c>
      <c r="B93" t="s">
        <v>2326</v>
      </c>
      <c r="C93">
        <v>5697</v>
      </c>
      <c r="D93" t="s">
        <v>2199</v>
      </c>
      <c r="E93" t="s">
        <v>2034</v>
      </c>
      <c r="F93">
        <v>202107</v>
      </c>
      <c r="G93" t="s">
        <v>191</v>
      </c>
      <c r="H93">
        <v>49599</v>
      </c>
      <c r="O93">
        <v>5369</v>
      </c>
      <c r="P93" t="s">
        <v>2326</v>
      </c>
      <c r="Q93">
        <v>5697</v>
      </c>
      <c r="R93" t="s">
        <v>2199</v>
      </c>
      <c r="S93" t="s">
        <v>2034</v>
      </c>
      <c r="T93">
        <v>202112</v>
      </c>
      <c r="U93" t="s">
        <v>190</v>
      </c>
      <c r="V93">
        <v>1076015</v>
      </c>
    </row>
    <row r="94" spans="1:22">
      <c r="A94">
        <v>5369</v>
      </c>
      <c r="B94" t="s">
        <v>2326</v>
      </c>
      <c r="C94">
        <v>5697</v>
      </c>
      <c r="D94" t="s">
        <v>2199</v>
      </c>
      <c r="E94" t="s">
        <v>2034</v>
      </c>
      <c r="F94">
        <v>202107</v>
      </c>
      <c r="G94" t="s">
        <v>176</v>
      </c>
      <c r="H94">
        <v>0</v>
      </c>
      <c r="O94">
        <v>5369</v>
      </c>
      <c r="P94" t="s">
        <v>2326</v>
      </c>
      <c r="Q94">
        <v>5697</v>
      </c>
      <c r="R94" t="s">
        <v>2199</v>
      </c>
      <c r="S94" t="s">
        <v>2034</v>
      </c>
      <c r="T94">
        <v>202112</v>
      </c>
      <c r="U94" t="s">
        <v>191</v>
      </c>
      <c r="V94">
        <v>98408</v>
      </c>
    </row>
    <row r="95" spans="1:22">
      <c r="A95">
        <v>5369</v>
      </c>
      <c r="B95" t="s">
        <v>2326</v>
      </c>
      <c r="C95">
        <v>5697</v>
      </c>
      <c r="D95" t="s">
        <v>2199</v>
      </c>
      <c r="E95" t="s">
        <v>2034</v>
      </c>
      <c r="F95">
        <v>202107</v>
      </c>
      <c r="G95" t="s">
        <v>178</v>
      </c>
      <c r="H95">
        <v>2444</v>
      </c>
      <c r="O95">
        <v>5369</v>
      </c>
      <c r="P95" t="s">
        <v>2326</v>
      </c>
      <c r="Q95">
        <v>5697</v>
      </c>
      <c r="R95" t="s">
        <v>2199</v>
      </c>
      <c r="S95" t="s">
        <v>2034</v>
      </c>
      <c r="T95">
        <v>202112</v>
      </c>
      <c r="U95" t="s">
        <v>178</v>
      </c>
      <c r="V95">
        <v>2992</v>
      </c>
    </row>
    <row r="96" spans="1:22">
      <c r="A96">
        <v>5369</v>
      </c>
      <c r="B96" t="s">
        <v>2326</v>
      </c>
      <c r="C96">
        <v>5697</v>
      </c>
      <c r="D96" t="s">
        <v>2199</v>
      </c>
      <c r="E96" t="s">
        <v>2034</v>
      </c>
      <c r="F96">
        <v>202107</v>
      </c>
      <c r="G96" t="s">
        <v>180</v>
      </c>
      <c r="H96">
        <v>1550</v>
      </c>
      <c r="O96">
        <v>5369</v>
      </c>
      <c r="P96" t="s">
        <v>2326</v>
      </c>
      <c r="Q96">
        <v>5697</v>
      </c>
      <c r="R96" t="s">
        <v>2199</v>
      </c>
      <c r="S96" t="s">
        <v>2034</v>
      </c>
      <c r="T96">
        <v>202112</v>
      </c>
      <c r="U96" t="s">
        <v>180</v>
      </c>
      <c r="V96">
        <v>2250</v>
      </c>
    </row>
    <row r="97" spans="1:22">
      <c r="A97">
        <v>5369</v>
      </c>
      <c r="B97" t="s">
        <v>2326</v>
      </c>
      <c r="C97">
        <v>5697</v>
      </c>
      <c r="D97" t="s">
        <v>2199</v>
      </c>
      <c r="E97" t="s">
        <v>2034</v>
      </c>
      <c r="F97">
        <v>202107</v>
      </c>
      <c r="G97" t="s">
        <v>182</v>
      </c>
      <c r="H97">
        <v>751831</v>
      </c>
      <c r="O97">
        <v>5369</v>
      </c>
      <c r="P97" t="s">
        <v>2326</v>
      </c>
      <c r="Q97">
        <v>5697</v>
      </c>
      <c r="R97" t="s">
        <v>2199</v>
      </c>
      <c r="S97" t="s">
        <v>2034</v>
      </c>
      <c r="T97">
        <v>202112</v>
      </c>
      <c r="U97" t="s">
        <v>182</v>
      </c>
      <c r="V97">
        <v>1076015</v>
      </c>
    </row>
    <row r="98" spans="1:22">
      <c r="A98">
        <v>5369</v>
      </c>
      <c r="B98" t="s">
        <v>2326</v>
      </c>
      <c r="C98">
        <v>5697</v>
      </c>
      <c r="D98" t="s">
        <v>2199</v>
      </c>
      <c r="E98" t="s">
        <v>2034</v>
      </c>
      <c r="F98">
        <v>202107</v>
      </c>
      <c r="G98" t="s">
        <v>184</v>
      </c>
      <c r="H98">
        <v>49599</v>
      </c>
      <c r="O98">
        <v>5369</v>
      </c>
      <c r="P98" t="s">
        <v>2326</v>
      </c>
      <c r="Q98">
        <v>5697</v>
      </c>
      <c r="R98" t="s">
        <v>2199</v>
      </c>
      <c r="S98" t="s">
        <v>2034</v>
      </c>
      <c r="T98">
        <v>202112</v>
      </c>
      <c r="U98" t="s">
        <v>184</v>
      </c>
      <c r="V98">
        <v>98408</v>
      </c>
    </row>
    <row r="99" spans="1:22">
      <c r="A99">
        <v>5369</v>
      </c>
      <c r="B99" t="s">
        <v>2326</v>
      </c>
      <c r="C99">
        <v>5697</v>
      </c>
      <c r="D99" t="s">
        <v>2199</v>
      </c>
      <c r="E99" t="s">
        <v>2034</v>
      </c>
      <c r="F99">
        <v>202107</v>
      </c>
      <c r="G99" t="s">
        <v>192</v>
      </c>
      <c r="H99">
        <v>0</v>
      </c>
      <c r="O99">
        <v>5369</v>
      </c>
      <c r="P99" t="s">
        <v>2326</v>
      </c>
      <c r="Q99">
        <v>5697</v>
      </c>
      <c r="R99" t="s">
        <v>2199</v>
      </c>
      <c r="S99" t="s">
        <v>2034</v>
      </c>
      <c r="T99">
        <v>202112</v>
      </c>
      <c r="U99" t="s">
        <v>186</v>
      </c>
      <c r="V99">
        <v>0</v>
      </c>
    </row>
    <row r="100" spans="1:22">
      <c r="A100">
        <v>5369</v>
      </c>
      <c r="B100" t="s">
        <v>2326</v>
      </c>
      <c r="C100">
        <v>5697</v>
      </c>
      <c r="D100" t="s">
        <v>2199</v>
      </c>
      <c r="E100" t="s">
        <v>2034</v>
      </c>
      <c r="F100">
        <v>202107</v>
      </c>
      <c r="G100" t="s">
        <v>2168</v>
      </c>
      <c r="H100">
        <v>3905.44</v>
      </c>
      <c r="O100">
        <v>5369</v>
      </c>
      <c r="P100" t="s">
        <v>2326</v>
      </c>
      <c r="Q100">
        <v>5697</v>
      </c>
      <c r="R100" t="s">
        <v>2199</v>
      </c>
      <c r="S100" t="s">
        <v>2034</v>
      </c>
      <c r="T100">
        <v>202112</v>
      </c>
      <c r="U100" t="s">
        <v>190</v>
      </c>
      <c r="V100">
        <v>2028219</v>
      </c>
    </row>
    <row r="101" spans="1:22">
      <c r="A101">
        <v>5369</v>
      </c>
      <c r="B101" t="s">
        <v>2326</v>
      </c>
      <c r="C101">
        <v>5697</v>
      </c>
      <c r="D101" t="s">
        <v>2199</v>
      </c>
      <c r="E101" t="s">
        <v>2034</v>
      </c>
      <c r="F101">
        <v>202107</v>
      </c>
      <c r="G101" t="s">
        <v>186</v>
      </c>
      <c r="H101">
        <v>0</v>
      </c>
      <c r="O101">
        <v>5369</v>
      </c>
      <c r="P101" t="s">
        <v>2326</v>
      </c>
      <c r="Q101">
        <v>5697</v>
      </c>
      <c r="R101" t="s">
        <v>2199</v>
      </c>
      <c r="S101" t="s">
        <v>2034</v>
      </c>
      <c r="T101">
        <v>202112</v>
      </c>
      <c r="U101" t="s">
        <v>191</v>
      </c>
      <c r="V101">
        <v>121584</v>
      </c>
    </row>
    <row r="102" spans="1:22">
      <c r="A102">
        <v>5369</v>
      </c>
      <c r="B102" t="s">
        <v>2326</v>
      </c>
      <c r="C102">
        <v>5697</v>
      </c>
      <c r="D102" t="s">
        <v>2199</v>
      </c>
      <c r="E102" t="s">
        <v>2034</v>
      </c>
      <c r="F102">
        <v>202107</v>
      </c>
      <c r="G102" t="s">
        <v>2167</v>
      </c>
      <c r="H102">
        <v>50.99</v>
      </c>
      <c r="O102">
        <v>5369</v>
      </c>
      <c r="P102" t="s">
        <v>2326</v>
      </c>
      <c r="Q102">
        <v>5697</v>
      </c>
      <c r="R102" t="s">
        <v>2199</v>
      </c>
      <c r="S102" t="s">
        <v>2034</v>
      </c>
      <c r="T102">
        <v>202112</v>
      </c>
      <c r="U102" t="s">
        <v>178</v>
      </c>
      <c r="V102">
        <v>6935</v>
      </c>
    </row>
    <row r="103" spans="1:22">
      <c r="A103">
        <v>5369</v>
      </c>
      <c r="B103" t="s">
        <v>2326</v>
      </c>
      <c r="C103">
        <v>5697</v>
      </c>
      <c r="D103" t="s">
        <v>2199</v>
      </c>
      <c r="E103" t="s">
        <v>2034</v>
      </c>
      <c r="F103">
        <v>202107</v>
      </c>
      <c r="G103" t="s">
        <v>2164</v>
      </c>
      <c r="H103">
        <v>12.33</v>
      </c>
      <c r="O103">
        <v>5369</v>
      </c>
      <c r="P103" t="s">
        <v>2326</v>
      </c>
      <c r="Q103">
        <v>5697</v>
      </c>
      <c r="R103" t="s">
        <v>2199</v>
      </c>
      <c r="S103" t="s">
        <v>2034</v>
      </c>
      <c r="T103">
        <v>202112</v>
      </c>
      <c r="U103" t="s">
        <v>180</v>
      </c>
      <c r="V103">
        <v>4000</v>
      </c>
    </row>
    <row r="104" spans="1:22">
      <c r="A104">
        <v>5369</v>
      </c>
      <c r="B104" t="s">
        <v>2326</v>
      </c>
      <c r="C104">
        <v>5697</v>
      </c>
      <c r="D104" t="s">
        <v>2199</v>
      </c>
      <c r="E104" t="s">
        <v>2034</v>
      </c>
      <c r="F104">
        <v>202107</v>
      </c>
      <c r="G104" t="s">
        <v>2165</v>
      </c>
      <c r="H104">
        <v>23.94</v>
      </c>
      <c r="O104">
        <v>5369</v>
      </c>
      <c r="P104" t="s">
        <v>2326</v>
      </c>
      <c r="Q104">
        <v>5697</v>
      </c>
      <c r="R104" t="s">
        <v>2199</v>
      </c>
      <c r="S104" t="s">
        <v>2034</v>
      </c>
      <c r="T104">
        <v>202112</v>
      </c>
      <c r="U104" t="s">
        <v>182</v>
      </c>
      <c r="V104">
        <v>2101802</v>
      </c>
    </row>
    <row r="105" spans="1:22">
      <c r="A105">
        <v>5369</v>
      </c>
      <c r="B105" t="s">
        <v>2326</v>
      </c>
      <c r="C105">
        <v>5697</v>
      </c>
      <c r="D105" t="s">
        <v>2199</v>
      </c>
      <c r="E105" t="s">
        <v>2034</v>
      </c>
      <c r="F105">
        <v>202107</v>
      </c>
      <c r="G105" t="s">
        <v>2166</v>
      </c>
      <c r="H105">
        <v>10.17</v>
      </c>
      <c r="O105">
        <v>5369</v>
      </c>
      <c r="P105" t="s">
        <v>2326</v>
      </c>
      <c r="Q105">
        <v>5697</v>
      </c>
      <c r="R105" t="s">
        <v>2199</v>
      </c>
      <c r="S105" t="s">
        <v>2034</v>
      </c>
      <c r="T105">
        <v>202112</v>
      </c>
      <c r="U105" t="s">
        <v>184</v>
      </c>
      <c r="V105">
        <v>121584</v>
      </c>
    </row>
    <row r="106" spans="1:22">
      <c r="A106">
        <v>5369</v>
      </c>
      <c r="B106" t="s">
        <v>2326</v>
      </c>
      <c r="C106">
        <v>5697</v>
      </c>
      <c r="D106" t="s">
        <v>2199</v>
      </c>
      <c r="E106" t="s">
        <v>2034</v>
      </c>
      <c r="F106">
        <v>202107</v>
      </c>
      <c r="G106" t="s">
        <v>2169</v>
      </c>
      <c r="H106">
        <v>120167.34</v>
      </c>
      <c r="O106">
        <v>5369</v>
      </c>
      <c r="P106" t="s">
        <v>2326</v>
      </c>
      <c r="Q106">
        <v>5697</v>
      </c>
      <c r="R106" t="s">
        <v>2199</v>
      </c>
      <c r="S106" t="s">
        <v>2034</v>
      </c>
      <c r="T106">
        <v>202112</v>
      </c>
      <c r="U106" t="s">
        <v>186</v>
      </c>
      <c r="V106">
        <v>73583</v>
      </c>
    </row>
    <row r="107" spans="1:22">
      <c r="A107">
        <v>5369</v>
      </c>
      <c r="B107" t="s">
        <v>2326</v>
      </c>
      <c r="C107">
        <v>5697</v>
      </c>
      <c r="D107" t="s">
        <v>2199</v>
      </c>
      <c r="E107" t="s">
        <v>2034</v>
      </c>
      <c r="F107">
        <v>202107</v>
      </c>
      <c r="G107" t="s">
        <v>190</v>
      </c>
      <c r="H107">
        <v>1273134</v>
      </c>
      <c r="O107">
        <v>5369</v>
      </c>
      <c r="P107" t="s">
        <v>2326</v>
      </c>
      <c r="Q107">
        <v>5697</v>
      </c>
      <c r="R107" t="s">
        <v>2199</v>
      </c>
      <c r="S107" t="s">
        <v>2034</v>
      </c>
      <c r="T107">
        <v>202201</v>
      </c>
      <c r="U107" t="s">
        <v>190</v>
      </c>
      <c r="V107">
        <v>1876185</v>
      </c>
    </row>
    <row r="108" spans="1:22">
      <c r="A108">
        <v>5369</v>
      </c>
      <c r="B108" t="s">
        <v>2326</v>
      </c>
      <c r="C108">
        <v>5697</v>
      </c>
      <c r="D108" t="s">
        <v>2199</v>
      </c>
      <c r="E108" t="s">
        <v>2034</v>
      </c>
      <c r="F108">
        <v>202107</v>
      </c>
      <c r="G108" t="s">
        <v>191</v>
      </c>
      <c r="H108">
        <v>113839</v>
      </c>
      <c r="O108">
        <v>5369</v>
      </c>
      <c r="P108" t="s">
        <v>2326</v>
      </c>
      <c r="Q108">
        <v>5697</v>
      </c>
      <c r="R108" t="s">
        <v>2199</v>
      </c>
      <c r="S108" t="s">
        <v>2034</v>
      </c>
      <c r="T108">
        <v>202201</v>
      </c>
      <c r="U108" t="s">
        <v>191</v>
      </c>
      <c r="V108">
        <v>125653</v>
      </c>
    </row>
    <row r="109" spans="1:22">
      <c r="A109">
        <v>5369</v>
      </c>
      <c r="B109" t="s">
        <v>2326</v>
      </c>
      <c r="C109">
        <v>5697</v>
      </c>
      <c r="D109" t="s">
        <v>2199</v>
      </c>
      <c r="E109" t="s">
        <v>2034</v>
      </c>
      <c r="F109">
        <v>202107</v>
      </c>
      <c r="G109" t="s">
        <v>176</v>
      </c>
      <c r="H109">
        <v>0</v>
      </c>
      <c r="O109">
        <v>5369</v>
      </c>
      <c r="P109" t="s">
        <v>2326</v>
      </c>
      <c r="Q109">
        <v>5697</v>
      </c>
      <c r="R109" t="s">
        <v>2199</v>
      </c>
      <c r="S109" t="s">
        <v>2034</v>
      </c>
      <c r="T109">
        <v>202201</v>
      </c>
      <c r="U109" t="s">
        <v>178</v>
      </c>
      <c r="V109">
        <v>6424</v>
      </c>
    </row>
    <row r="110" spans="1:22">
      <c r="A110">
        <v>5369</v>
      </c>
      <c r="B110" t="s">
        <v>2326</v>
      </c>
      <c r="C110">
        <v>5697</v>
      </c>
      <c r="D110" t="s">
        <v>2199</v>
      </c>
      <c r="E110" t="s">
        <v>2034</v>
      </c>
      <c r="F110">
        <v>202107</v>
      </c>
      <c r="G110" t="s">
        <v>178</v>
      </c>
      <c r="H110">
        <v>3797</v>
      </c>
      <c r="O110">
        <v>5369</v>
      </c>
      <c r="P110" t="s">
        <v>2326</v>
      </c>
      <c r="Q110">
        <v>5697</v>
      </c>
      <c r="R110" t="s">
        <v>2199</v>
      </c>
      <c r="S110" t="s">
        <v>2034</v>
      </c>
      <c r="T110">
        <v>202201</v>
      </c>
      <c r="U110" t="s">
        <v>180</v>
      </c>
      <c r="V110">
        <v>4000</v>
      </c>
    </row>
    <row r="111" spans="1:22">
      <c r="A111">
        <v>5369</v>
      </c>
      <c r="B111" t="s">
        <v>2326</v>
      </c>
      <c r="C111">
        <v>5697</v>
      </c>
      <c r="D111" t="s">
        <v>2199</v>
      </c>
      <c r="E111" t="s">
        <v>2034</v>
      </c>
      <c r="F111">
        <v>202107</v>
      </c>
      <c r="G111" t="s">
        <v>180</v>
      </c>
      <c r="H111">
        <v>2488</v>
      </c>
      <c r="O111">
        <v>5369</v>
      </c>
      <c r="P111" t="s">
        <v>2326</v>
      </c>
      <c r="Q111">
        <v>5697</v>
      </c>
      <c r="R111" t="s">
        <v>2199</v>
      </c>
      <c r="S111" t="s">
        <v>2034</v>
      </c>
      <c r="T111">
        <v>202201</v>
      </c>
      <c r="U111" t="s">
        <v>182</v>
      </c>
      <c r="V111">
        <v>1943282</v>
      </c>
    </row>
    <row r="112" spans="1:22">
      <c r="A112">
        <v>5369</v>
      </c>
      <c r="B112" t="s">
        <v>2326</v>
      </c>
      <c r="C112">
        <v>5697</v>
      </c>
      <c r="D112" t="s">
        <v>2199</v>
      </c>
      <c r="E112" t="s">
        <v>2034</v>
      </c>
      <c r="F112">
        <v>202107</v>
      </c>
      <c r="G112" t="s">
        <v>182</v>
      </c>
      <c r="H112">
        <v>1273134</v>
      </c>
      <c r="O112">
        <v>5369</v>
      </c>
      <c r="P112" t="s">
        <v>2326</v>
      </c>
      <c r="Q112">
        <v>5697</v>
      </c>
      <c r="R112" t="s">
        <v>2199</v>
      </c>
      <c r="S112" t="s">
        <v>2034</v>
      </c>
      <c r="T112">
        <v>202201</v>
      </c>
      <c r="U112" t="s">
        <v>184</v>
      </c>
      <c r="V112">
        <v>125653</v>
      </c>
    </row>
    <row r="113" spans="1:22">
      <c r="A113">
        <v>5369</v>
      </c>
      <c r="B113" t="s">
        <v>2326</v>
      </c>
      <c r="C113">
        <v>5697</v>
      </c>
      <c r="D113" t="s">
        <v>2199</v>
      </c>
      <c r="E113" t="s">
        <v>2034</v>
      </c>
      <c r="F113">
        <v>202107</v>
      </c>
      <c r="G113" t="s">
        <v>184</v>
      </c>
      <c r="H113">
        <v>113839</v>
      </c>
      <c r="O113">
        <v>5369</v>
      </c>
      <c r="P113" t="s">
        <v>2326</v>
      </c>
      <c r="Q113">
        <v>5697</v>
      </c>
      <c r="R113" t="s">
        <v>2199</v>
      </c>
      <c r="S113" t="s">
        <v>2034</v>
      </c>
      <c r="T113">
        <v>202201</v>
      </c>
      <c r="U113" t="s">
        <v>186</v>
      </c>
      <c r="V113">
        <v>67097</v>
      </c>
    </row>
    <row r="114" spans="1:22">
      <c r="A114">
        <v>5369</v>
      </c>
      <c r="B114" t="s">
        <v>2326</v>
      </c>
      <c r="C114">
        <v>5697</v>
      </c>
      <c r="D114" t="s">
        <v>2199</v>
      </c>
      <c r="E114" t="s">
        <v>2034</v>
      </c>
      <c r="F114">
        <v>202107</v>
      </c>
      <c r="G114" t="s">
        <v>192</v>
      </c>
      <c r="H114">
        <v>0</v>
      </c>
      <c r="O114">
        <v>5369</v>
      </c>
      <c r="P114" t="s">
        <v>2326</v>
      </c>
      <c r="Q114">
        <v>5697</v>
      </c>
      <c r="R114" t="s">
        <v>2199</v>
      </c>
      <c r="S114" t="s">
        <v>2034</v>
      </c>
      <c r="T114">
        <v>202201</v>
      </c>
      <c r="U114" t="s">
        <v>190</v>
      </c>
      <c r="V114">
        <v>951769</v>
      </c>
    </row>
    <row r="115" spans="1:22">
      <c r="A115">
        <v>5369</v>
      </c>
      <c r="B115" t="s">
        <v>2326</v>
      </c>
      <c r="C115">
        <v>5697</v>
      </c>
      <c r="D115" t="s">
        <v>2199</v>
      </c>
      <c r="E115" t="s">
        <v>2034</v>
      </c>
      <c r="F115">
        <v>202107</v>
      </c>
      <c r="G115" t="s">
        <v>2168</v>
      </c>
      <c r="H115">
        <v>7805.13</v>
      </c>
      <c r="O115">
        <v>5369</v>
      </c>
      <c r="P115" t="s">
        <v>2326</v>
      </c>
      <c r="Q115">
        <v>5697</v>
      </c>
      <c r="R115" t="s">
        <v>2199</v>
      </c>
      <c r="S115" t="s">
        <v>2034</v>
      </c>
      <c r="T115">
        <v>202201</v>
      </c>
      <c r="U115" t="s">
        <v>191</v>
      </c>
      <c r="V115">
        <v>107630</v>
      </c>
    </row>
    <row r="116" spans="1:22">
      <c r="A116">
        <v>5369</v>
      </c>
      <c r="B116" t="s">
        <v>2326</v>
      </c>
      <c r="C116">
        <v>5697</v>
      </c>
      <c r="D116" t="s">
        <v>2199</v>
      </c>
      <c r="E116" t="s">
        <v>2034</v>
      </c>
      <c r="F116">
        <v>202107</v>
      </c>
      <c r="G116" t="s">
        <v>186</v>
      </c>
      <c r="H116">
        <v>0</v>
      </c>
      <c r="O116">
        <v>5369</v>
      </c>
      <c r="P116" t="s">
        <v>2326</v>
      </c>
      <c r="Q116">
        <v>5697</v>
      </c>
      <c r="R116" t="s">
        <v>2199</v>
      </c>
      <c r="S116" t="s">
        <v>2034</v>
      </c>
      <c r="T116">
        <v>202201</v>
      </c>
      <c r="U116" t="s">
        <v>178</v>
      </c>
      <c r="V116">
        <v>3016</v>
      </c>
    </row>
    <row r="117" spans="1:22">
      <c r="A117">
        <v>5369</v>
      </c>
      <c r="B117" t="s">
        <v>2326</v>
      </c>
      <c r="C117">
        <v>5697</v>
      </c>
      <c r="D117" t="s">
        <v>2199</v>
      </c>
      <c r="E117" t="s">
        <v>2034</v>
      </c>
      <c r="F117">
        <v>202107</v>
      </c>
      <c r="G117" t="s">
        <v>2167</v>
      </c>
      <c r="H117">
        <v>50.99</v>
      </c>
      <c r="O117">
        <v>5369</v>
      </c>
      <c r="P117" t="s">
        <v>2326</v>
      </c>
      <c r="Q117">
        <v>5697</v>
      </c>
      <c r="R117" t="s">
        <v>2199</v>
      </c>
      <c r="S117" t="s">
        <v>2034</v>
      </c>
      <c r="T117">
        <v>202201</v>
      </c>
      <c r="U117" t="s">
        <v>180</v>
      </c>
      <c r="V117">
        <v>2250</v>
      </c>
    </row>
    <row r="118" spans="1:22">
      <c r="A118">
        <v>5369</v>
      </c>
      <c r="B118" t="s">
        <v>2326</v>
      </c>
      <c r="C118">
        <v>5697</v>
      </c>
      <c r="D118" t="s">
        <v>2199</v>
      </c>
      <c r="E118" t="s">
        <v>2034</v>
      </c>
      <c r="F118">
        <v>202107</v>
      </c>
      <c r="G118" t="s">
        <v>2164</v>
      </c>
      <c r="H118">
        <v>12.33</v>
      </c>
      <c r="O118">
        <v>5369</v>
      </c>
      <c r="P118" t="s">
        <v>2326</v>
      </c>
      <c r="Q118">
        <v>5697</v>
      </c>
      <c r="R118" t="s">
        <v>2199</v>
      </c>
      <c r="S118" t="s">
        <v>2034</v>
      </c>
      <c r="T118">
        <v>202201</v>
      </c>
      <c r="U118" t="s">
        <v>182</v>
      </c>
      <c r="V118">
        <v>951769</v>
      </c>
    </row>
    <row r="119" spans="1:22">
      <c r="A119">
        <v>5369</v>
      </c>
      <c r="B119" t="s">
        <v>2326</v>
      </c>
      <c r="C119">
        <v>5697</v>
      </c>
      <c r="D119" t="s">
        <v>2199</v>
      </c>
      <c r="E119" t="s">
        <v>2034</v>
      </c>
      <c r="F119">
        <v>202107</v>
      </c>
      <c r="G119" t="s">
        <v>2165</v>
      </c>
      <c r="H119">
        <v>23.94</v>
      </c>
      <c r="O119">
        <v>5369</v>
      </c>
      <c r="P119" t="s">
        <v>2326</v>
      </c>
      <c r="Q119">
        <v>5697</v>
      </c>
      <c r="R119" t="s">
        <v>2199</v>
      </c>
      <c r="S119" t="s">
        <v>2034</v>
      </c>
      <c r="T119">
        <v>202201</v>
      </c>
      <c r="U119" t="s">
        <v>184</v>
      </c>
      <c r="V119">
        <v>107630</v>
      </c>
    </row>
    <row r="120" spans="1:22">
      <c r="A120">
        <v>5369</v>
      </c>
      <c r="B120" t="s">
        <v>2326</v>
      </c>
      <c r="C120">
        <v>5697</v>
      </c>
      <c r="D120" t="s">
        <v>2199</v>
      </c>
      <c r="E120" t="s">
        <v>2034</v>
      </c>
      <c r="F120">
        <v>202107</v>
      </c>
      <c r="G120" t="s">
        <v>2166</v>
      </c>
      <c r="H120">
        <v>10.17</v>
      </c>
      <c r="O120">
        <v>5369</v>
      </c>
      <c r="P120" t="s">
        <v>2326</v>
      </c>
      <c r="Q120">
        <v>5697</v>
      </c>
      <c r="R120" t="s">
        <v>2199</v>
      </c>
      <c r="S120" t="s">
        <v>2034</v>
      </c>
      <c r="T120">
        <v>202201</v>
      </c>
      <c r="U120" t="s">
        <v>186</v>
      </c>
      <c r="V120">
        <v>0</v>
      </c>
    </row>
    <row r="121" spans="1:22">
      <c r="A121">
        <v>5369</v>
      </c>
      <c r="B121" t="s">
        <v>2326</v>
      </c>
      <c r="C121">
        <v>5697</v>
      </c>
      <c r="D121" t="s">
        <v>2199</v>
      </c>
      <c r="E121" t="s">
        <v>2034</v>
      </c>
      <c r="F121">
        <v>202107</v>
      </c>
      <c r="G121" t="s">
        <v>2169</v>
      </c>
      <c r="H121">
        <v>240157.34</v>
      </c>
      <c r="O121">
        <v>5369</v>
      </c>
      <c r="P121" t="s">
        <v>2326</v>
      </c>
      <c r="Q121">
        <v>5697</v>
      </c>
      <c r="R121" t="s">
        <v>2199</v>
      </c>
      <c r="S121" t="s">
        <v>2034</v>
      </c>
      <c r="T121">
        <v>202201</v>
      </c>
      <c r="U121" t="s">
        <v>190</v>
      </c>
      <c r="V121">
        <v>683321</v>
      </c>
    </row>
    <row r="122" spans="1:22">
      <c r="A122">
        <v>5369</v>
      </c>
      <c r="B122" t="s">
        <v>2326</v>
      </c>
      <c r="C122">
        <v>5697</v>
      </c>
      <c r="D122" t="s">
        <v>2199</v>
      </c>
      <c r="E122" t="s">
        <v>2034</v>
      </c>
      <c r="F122">
        <v>202107</v>
      </c>
      <c r="G122" t="s">
        <v>190</v>
      </c>
      <c r="H122">
        <v>1879283</v>
      </c>
      <c r="O122">
        <v>5369</v>
      </c>
      <c r="P122" t="s">
        <v>2326</v>
      </c>
      <c r="Q122">
        <v>5697</v>
      </c>
      <c r="R122" t="s">
        <v>2199</v>
      </c>
      <c r="S122" t="s">
        <v>2034</v>
      </c>
      <c r="T122">
        <v>202201</v>
      </c>
      <c r="U122" t="s">
        <v>191</v>
      </c>
      <c r="V122">
        <v>51368</v>
      </c>
    </row>
    <row r="123" spans="1:22">
      <c r="A123">
        <v>5369</v>
      </c>
      <c r="B123" t="s">
        <v>2326</v>
      </c>
      <c r="C123">
        <v>5697</v>
      </c>
      <c r="D123" t="s">
        <v>2199</v>
      </c>
      <c r="E123" t="s">
        <v>2034</v>
      </c>
      <c r="F123">
        <v>202107</v>
      </c>
      <c r="G123" t="s">
        <v>191</v>
      </c>
      <c r="H123">
        <v>93859</v>
      </c>
      <c r="O123">
        <v>5369</v>
      </c>
      <c r="P123" t="s">
        <v>2326</v>
      </c>
      <c r="Q123">
        <v>5697</v>
      </c>
      <c r="R123" t="s">
        <v>2199</v>
      </c>
      <c r="S123" t="s">
        <v>2034</v>
      </c>
      <c r="T123">
        <v>202201</v>
      </c>
      <c r="U123" t="s">
        <v>178</v>
      </c>
      <c r="V123">
        <v>2460</v>
      </c>
    </row>
    <row r="124" spans="1:22">
      <c r="A124">
        <v>5369</v>
      </c>
      <c r="B124" t="s">
        <v>2326</v>
      </c>
      <c r="C124">
        <v>5697</v>
      </c>
      <c r="D124" t="s">
        <v>2199</v>
      </c>
      <c r="E124" t="s">
        <v>2034</v>
      </c>
      <c r="F124">
        <v>202107</v>
      </c>
      <c r="G124" t="s">
        <v>176</v>
      </c>
      <c r="H124">
        <v>0</v>
      </c>
      <c r="O124">
        <v>5369</v>
      </c>
      <c r="P124" t="s">
        <v>2326</v>
      </c>
      <c r="Q124">
        <v>5697</v>
      </c>
      <c r="R124" t="s">
        <v>2199</v>
      </c>
      <c r="S124" t="s">
        <v>2034</v>
      </c>
      <c r="T124">
        <v>202201</v>
      </c>
      <c r="U124" t="s">
        <v>180</v>
      </c>
      <c r="V124">
        <v>1550</v>
      </c>
    </row>
    <row r="125" spans="1:22">
      <c r="A125">
        <v>5369</v>
      </c>
      <c r="B125" t="s">
        <v>2326</v>
      </c>
      <c r="C125">
        <v>5697</v>
      </c>
      <c r="D125" t="s">
        <v>2199</v>
      </c>
      <c r="E125" t="s">
        <v>2034</v>
      </c>
      <c r="F125">
        <v>202107</v>
      </c>
      <c r="G125" t="s">
        <v>178</v>
      </c>
      <c r="H125">
        <v>6400</v>
      </c>
      <c r="O125">
        <v>5369</v>
      </c>
      <c r="P125" t="s">
        <v>2326</v>
      </c>
      <c r="Q125">
        <v>5697</v>
      </c>
      <c r="R125" t="s">
        <v>2199</v>
      </c>
      <c r="S125" t="s">
        <v>2034</v>
      </c>
      <c r="T125">
        <v>202201</v>
      </c>
      <c r="U125" t="s">
        <v>182</v>
      </c>
      <c r="V125">
        <v>683321</v>
      </c>
    </row>
    <row r="126" spans="1:22">
      <c r="A126">
        <v>5369</v>
      </c>
      <c r="B126" t="s">
        <v>2326</v>
      </c>
      <c r="C126">
        <v>5697</v>
      </c>
      <c r="D126" t="s">
        <v>2199</v>
      </c>
      <c r="E126" t="s">
        <v>2034</v>
      </c>
      <c r="F126">
        <v>202107</v>
      </c>
      <c r="G126" t="s">
        <v>180</v>
      </c>
      <c r="H126">
        <v>4000</v>
      </c>
      <c r="O126">
        <v>5369</v>
      </c>
      <c r="P126" t="s">
        <v>2326</v>
      </c>
      <c r="Q126">
        <v>5697</v>
      </c>
      <c r="R126" t="s">
        <v>2199</v>
      </c>
      <c r="S126" t="s">
        <v>2034</v>
      </c>
      <c r="T126">
        <v>202201</v>
      </c>
      <c r="U126" t="s">
        <v>184</v>
      </c>
      <c r="V126">
        <v>51368</v>
      </c>
    </row>
    <row r="127" spans="1:22">
      <c r="A127">
        <v>5369</v>
      </c>
      <c r="B127" t="s">
        <v>2326</v>
      </c>
      <c r="C127">
        <v>5697</v>
      </c>
      <c r="D127" t="s">
        <v>2199</v>
      </c>
      <c r="E127" t="s">
        <v>2034</v>
      </c>
      <c r="F127">
        <v>202107</v>
      </c>
      <c r="G127" t="s">
        <v>182</v>
      </c>
      <c r="H127">
        <v>1943985</v>
      </c>
      <c r="O127">
        <v>5369</v>
      </c>
      <c r="P127" t="s">
        <v>2326</v>
      </c>
      <c r="Q127">
        <v>5697</v>
      </c>
      <c r="R127" t="s">
        <v>2199</v>
      </c>
      <c r="S127" t="s">
        <v>2034</v>
      </c>
      <c r="T127">
        <v>202201</v>
      </c>
      <c r="U127" t="s">
        <v>186</v>
      </c>
      <c r="V127">
        <v>0</v>
      </c>
    </row>
    <row r="128" spans="1:22">
      <c r="A128">
        <v>5369</v>
      </c>
      <c r="B128" t="s">
        <v>2326</v>
      </c>
      <c r="C128">
        <v>5697</v>
      </c>
      <c r="D128" t="s">
        <v>2199</v>
      </c>
      <c r="E128" t="s">
        <v>2034</v>
      </c>
      <c r="F128">
        <v>202107</v>
      </c>
      <c r="G128" t="s">
        <v>184</v>
      </c>
      <c r="H128">
        <v>93859</v>
      </c>
      <c r="O128">
        <v>5369</v>
      </c>
      <c r="P128" t="s">
        <v>2326</v>
      </c>
      <c r="Q128">
        <v>5697</v>
      </c>
      <c r="R128" t="s">
        <v>2199</v>
      </c>
      <c r="S128" t="s">
        <v>2034</v>
      </c>
      <c r="T128">
        <v>202202</v>
      </c>
      <c r="U128" t="s">
        <v>190</v>
      </c>
      <c r="V128">
        <v>1140642</v>
      </c>
    </row>
    <row r="129" spans="1:22">
      <c r="A129">
        <v>5369</v>
      </c>
      <c r="B129" t="s">
        <v>2326</v>
      </c>
      <c r="C129">
        <v>5697</v>
      </c>
      <c r="D129" t="s">
        <v>2199</v>
      </c>
      <c r="E129" t="s">
        <v>2034</v>
      </c>
      <c r="F129">
        <v>202107</v>
      </c>
      <c r="G129" t="s">
        <v>192</v>
      </c>
      <c r="H129">
        <v>0</v>
      </c>
      <c r="O129">
        <v>5369</v>
      </c>
      <c r="P129" t="s">
        <v>2326</v>
      </c>
      <c r="Q129">
        <v>5697</v>
      </c>
      <c r="R129" t="s">
        <v>2199</v>
      </c>
      <c r="S129" t="s">
        <v>2034</v>
      </c>
      <c r="T129">
        <v>202202</v>
      </c>
      <c r="U129" t="s">
        <v>191</v>
      </c>
      <c r="V129">
        <v>109274</v>
      </c>
    </row>
    <row r="130" spans="1:22">
      <c r="A130">
        <v>5369</v>
      </c>
      <c r="B130" t="s">
        <v>2326</v>
      </c>
      <c r="C130">
        <v>5697</v>
      </c>
      <c r="D130" t="s">
        <v>2199</v>
      </c>
      <c r="E130" t="s">
        <v>2034</v>
      </c>
      <c r="F130">
        <v>202107</v>
      </c>
      <c r="G130" t="s">
        <v>2168</v>
      </c>
      <c r="H130">
        <v>9943.4</v>
      </c>
      <c r="O130">
        <v>5369</v>
      </c>
      <c r="P130" t="s">
        <v>2326</v>
      </c>
      <c r="Q130">
        <v>5697</v>
      </c>
      <c r="R130" t="s">
        <v>2199</v>
      </c>
      <c r="S130" t="s">
        <v>2034</v>
      </c>
      <c r="T130">
        <v>202202</v>
      </c>
      <c r="U130" t="s">
        <v>178</v>
      </c>
      <c r="V130">
        <v>3212</v>
      </c>
    </row>
    <row r="131" spans="1:22">
      <c r="A131">
        <v>5369</v>
      </c>
      <c r="B131" t="s">
        <v>2326</v>
      </c>
      <c r="C131">
        <v>5697</v>
      </c>
      <c r="D131" t="s">
        <v>2199</v>
      </c>
      <c r="E131" t="s">
        <v>2034</v>
      </c>
      <c r="F131">
        <v>202107</v>
      </c>
      <c r="G131" t="s">
        <v>186</v>
      </c>
      <c r="H131">
        <v>64702</v>
      </c>
      <c r="O131">
        <v>5369</v>
      </c>
      <c r="P131" t="s">
        <v>2326</v>
      </c>
      <c r="Q131">
        <v>5697</v>
      </c>
      <c r="R131" t="s">
        <v>2199</v>
      </c>
      <c r="S131" t="s">
        <v>2034</v>
      </c>
      <c r="T131">
        <v>202202</v>
      </c>
      <c r="U131" t="s">
        <v>180</v>
      </c>
      <c r="V131">
        <v>2330</v>
      </c>
    </row>
    <row r="132" spans="1:22">
      <c r="A132">
        <v>5369</v>
      </c>
      <c r="B132" t="s">
        <v>2326</v>
      </c>
      <c r="C132">
        <v>5697</v>
      </c>
      <c r="D132" t="s">
        <v>2199</v>
      </c>
      <c r="E132" t="s">
        <v>2034</v>
      </c>
      <c r="F132">
        <v>202107</v>
      </c>
      <c r="G132" t="s">
        <v>2167</v>
      </c>
      <c r="H132">
        <v>50.99</v>
      </c>
      <c r="O132">
        <v>5369</v>
      </c>
      <c r="P132" t="s">
        <v>2326</v>
      </c>
      <c r="Q132">
        <v>5697</v>
      </c>
      <c r="R132" t="s">
        <v>2199</v>
      </c>
      <c r="S132" t="s">
        <v>2034</v>
      </c>
      <c r="T132">
        <v>202202</v>
      </c>
      <c r="U132" t="s">
        <v>182</v>
      </c>
      <c r="V132">
        <v>1140642</v>
      </c>
    </row>
    <row r="133" spans="1:22">
      <c r="A133">
        <v>5369</v>
      </c>
      <c r="B133" t="s">
        <v>2326</v>
      </c>
      <c r="C133">
        <v>5697</v>
      </c>
      <c r="D133" t="s">
        <v>2199</v>
      </c>
      <c r="E133" t="s">
        <v>2034</v>
      </c>
      <c r="F133">
        <v>202107</v>
      </c>
      <c r="G133" t="s">
        <v>2164</v>
      </c>
      <c r="H133">
        <v>12.33</v>
      </c>
      <c r="O133">
        <v>5369</v>
      </c>
      <c r="P133" t="s">
        <v>2326</v>
      </c>
      <c r="Q133">
        <v>5697</v>
      </c>
      <c r="R133" t="s">
        <v>2199</v>
      </c>
      <c r="S133" t="s">
        <v>2034</v>
      </c>
      <c r="T133">
        <v>202202</v>
      </c>
      <c r="U133" t="s">
        <v>184</v>
      </c>
      <c r="V133">
        <v>109274</v>
      </c>
    </row>
    <row r="134" spans="1:22">
      <c r="A134">
        <v>5369</v>
      </c>
      <c r="B134" t="s">
        <v>2326</v>
      </c>
      <c r="C134">
        <v>5697</v>
      </c>
      <c r="D134" t="s">
        <v>2199</v>
      </c>
      <c r="E134" t="s">
        <v>2034</v>
      </c>
      <c r="F134">
        <v>202107</v>
      </c>
      <c r="G134" t="s">
        <v>2165</v>
      </c>
      <c r="H134">
        <v>23.94</v>
      </c>
      <c r="O134">
        <v>5369</v>
      </c>
      <c r="P134" t="s">
        <v>2326</v>
      </c>
      <c r="Q134">
        <v>5697</v>
      </c>
      <c r="R134" t="s">
        <v>2199</v>
      </c>
      <c r="S134" t="s">
        <v>2034</v>
      </c>
      <c r="T134">
        <v>202202</v>
      </c>
      <c r="U134" t="s">
        <v>186</v>
      </c>
      <c r="V134">
        <v>0</v>
      </c>
    </row>
    <row r="135" spans="1:22">
      <c r="A135">
        <v>5369</v>
      </c>
      <c r="B135" t="s">
        <v>2326</v>
      </c>
      <c r="C135">
        <v>5697</v>
      </c>
      <c r="D135" t="s">
        <v>2199</v>
      </c>
      <c r="E135" t="s">
        <v>2034</v>
      </c>
      <c r="F135">
        <v>202107</v>
      </c>
      <c r="G135" t="s">
        <v>2166</v>
      </c>
      <c r="H135">
        <v>10.17</v>
      </c>
      <c r="O135">
        <v>5369</v>
      </c>
      <c r="P135" t="s">
        <v>2326</v>
      </c>
      <c r="Q135">
        <v>5697</v>
      </c>
      <c r="R135" t="s">
        <v>2199</v>
      </c>
      <c r="S135" t="s">
        <v>2034</v>
      </c>
      <c r="T135">
        <v>202202</v>
      </c>
      <c r="U135" t="s">
        <v>190</v>
      </c>
      <c r="V135">
        <v>739795</v>
      </c>
    </row>
    <row r="136" spans="1:22">
      <c r="A136">
        <v>5369</v>
      </c>
      <c r="B136" t="s">
        <v>2326</v>
      </c>
      <c r="C136">
        <v>5697</v>
      </c>
      <c r="D136" t="s">
        <v>2199</v>
      </c>
      <c r="E136" t="s">
        <v>2034</v>
      </c>
      <c r="F136">
        <v>202107</v>
      </c>
      <c r="G136" t="s">
        <v>2169</v>
      </c>
      <c r="H136">
        <v>305950.77</v>
      </c>
      <c r="O136">
        <v>5369</v>
      </c>
      <c r="P136" t="s">
        <v>2326</v>
      </c>
      <c r="Q136">
        <v>5697</v>
      </c>
      <c r="R136" t="s">
        <v>2199</v>
      </c>
      <c r="S136" t="s">
        <v>2034</v>
      </c>
      <c r="T136">
        <v>202202</v>
      </c>
      <c r="U136" t="s">
        <v>191</v>
      </c>
      <c r="V136">
        <v>52047</v>
      </c>
    </row>
    <row r="137" spans="1:22">
      <c r="A137">
        <v>5369</v>
      </c>
      <c r="B137" t="s">
        <v>2326</v>
      </c>
      <c r="C137">
        <v>5697</v>
      </c>
      <c r="D137" t="s">
        <v>2199</v>
      </c>
      <c r="E137" t="s">
        <v>2034</v>
      </c>
      <c r="F137">
        <v>202108</v>
      </c>
      <c r="G137" t="s">
        <v>190</v>
      </c>
      <c r="H137">
        <v>1372219</v>
      </c>
      <c r="O137">
        <v>5369</v>
      </c>
      <c r="P137" t="s">
        <v>2326</v>
      </c>
      <c r="Q137">
        <v>5697</v>
      </c>
      <c r="R137" t="s">
        <v>2199</v>
      </c>
      <c r="S137" t="s">
        <v>2034</v>
      </c>
      <c r="T137">
        <v>202202</v>
      </c>
      <c r="U137" t="s">
        <v>178</v>
      </c>
      <c r="V137">
        <v>2542</v>
      </c>
    </row>
    <row r="138" spans="1:22">
      <c r="A138">
        <v>5369</v>
      </c>
      <c r="B138" t="s">
        <v>2326</v>
      </c>
      <c r="C138">
        <v>5697</v>
      </c>
      <c r="D138" t="s">
        <v>2199</v>
      </c>
      <c r="E138" t="s">
        <v>2034</v>
      </c>
      <c r="F138">
        <v>202108</v>
      </c>
      <c r="G138" t="s">
        <v>191</v>
      </c>
      <c r="H138">
        <v>127593</v>
      </c>
      <c r="O138">
        <v>5369</v>
      </c>
      <c r="P138" t="s">
        <v>2326</v>
      </c>
      <c r="Q138">
        <v>5697</v>
      </c>
      <c r="R138" t="s">
        <v>2199</v>
      </c>
      <c r="S138" t="s">
        <v>2034</v>
      </c>
      <c r="T138">
        <v>202202</v>
      </c>
      <c r="U138" t="s">
        <v>180</v>
      </c>
      <c r="V138">
        <v>1550</v>
      </c>
    </row>
    <row r="139" spans="1:22">
      <c r="A139">
        <v>5369</v>
      </c>
      <c r="B139" t="s">
        <v>2326</v>
      </c>
      <c r="C139">
        <v>5697</v>
      </c>
      <c r="D139" t="s">
        <v>2199</v>
      </c>
      <c r="E139" t="s">
        <v>2034</v>
      </c>
      <c r="F139">
        <v>202108</v>
      </c>
      <c r="G139" t="s">
        <v>176</v>
      </c>
      <c r="H139">
        <v>0</v>
      </c>
      <c r="O139">
        <v>5369</v>
      </c>
      <c r="P139" t="s">
        <v>2326</v>
      </c>
      <c r="Q139">
        <v>5697</v>
      </c>
      <c r="R139" t="s">
        <v>2199</v>
      </c>
      <c r="S139" t="s">
        <v>2034</v>
      </c>
      <c r="T139">
        <v>202202</v>
      </c>
      <c r="U139" t="s">
        <v>182</v>
      </c>
      <c r="V139">
        <v>739795</v>
      </c>
    </row>
    <row r="140" spans="1:22">
      <c r="A140">
        <v>5369</v>
      </c>
      <c r="B140" t="s">
        <v>2326</v>
      </c>
      <c r="C140">
        <v>5697</v>
      </c>
      <c r="D140" t="s">
        <v>2199</v>
      </c>
      <c r="E140" t="s">
        <v>2034</v>
      </c>
      <c r="F140">
        <v>202108</v>
      </c>
      <c r="G140" t="s">
        <v>178</v>
      </c>
      <c r="H140">
        <v>4235</v>
      </c>
      <c r="O140">
        <v>5369</v>
      </c>
      <c r="P140" t="s">
        <v>2326</v>
      </c>
      <c r="Q140">
        <v>5697</v>
      </c>
      <c r="R140" t="s">
        <v>2199</v>
      </c>
      <c r="S140" t="s">
        <v>2034</v>
      </c>
      <c r="T140">
        <v>202202</v>
      </c>
      <c r="U140" t="s">
        <v>184</v>
      </c>
      <c r="V140">
        <v>52047</v>
      </c>
    </row>
    <row r="141" spans="1:22">
      <c r="A141">
        <v>5369</v>
      </c>
      <c r="B141" t="s">
        <v>2326</v>
      </c>
      <c r="C141">
        <v>5697</v>
      </c>
      <c r="D141" t="s">
        <v>2199</v>
      </c>
      <c r="E141" t="s">
        <v>2034</v>
      </c>
      <c r="F141">
        <v>202108</v>
      </c>
      <c r="G141" t="s">
        <v>180</v>
      </c>
      <c r="H141">
        <v>2759</v>
      </c>
      <c r="O141">
        <v>5369</v>
      </c>
      <c r="P141" t="s">
        <v>2326</v>
      </c>
      <c r="Q141">
        <v>5697</v>
      </c>
      <c r="R141" t="s">
        <v>2199</v>
      </c>
      <c r="S141" t="s">
        <v>2034</v>
      </c>
      <c r="T141">
        <v>202202</v>
      </c>
      <c r="U141" t="s">
        <v>186</v>
      </c>
      <c r="V141">
        <v>0</v>
      </c>
    </row>
    <row r="142" spans="1:22">
      <c r="A142">
        <v>5369</v>
      </c>
      <c r="B142" t="s">
        <v>2326</v>
      </c>
      <c r="C142">
        <v>5697</v>
      </c>
      <c r="D142" t="s">
        <v>2199</v>
      </c>
      <c r="E142" t="s">
        <v>2034</v>
      </c>
      <c r="F142">
        <v>202108</v>
      </c>
      <c r="G142" t="s">
        <v>182</v>
      </c>
      <c r="H142">
        <v>1372219</v>
      </c>
      <c r="O142">
        <v>5369</v>
      </c>
      <c r="P142" t="s">
        <v>2326</v>
      </c>
      <c r="Q142">
        <v>5697</v>
      </c>
      <c r="R142" t="s">
        <v>2199</v>
      </c>
      <c r="S142" t="s">
        <v>2034</v>
      </c>
      <c r="T142">
        <v>202202</v>
      </c>
      <c r="U142" t="s">
        <v>190</v>
      </c>
      <c r="V142">
        <v>1996958</v>
      </c>
    </row>
    <row r="143" spans="1:22">
      <c r="A143">
        <v>5369</v>
      </c>
      <c r="B143" t="s">
        <v>2326</v>
      </c>
      <c r="C143">
        <v>5697</v>
      </c>
      <c r="D143" t="s">
        <v>2199</v>
      </c>
      <c r="E143" t="s">
        <v>2034</v>
      </c>
      <c r="F143">
        <v>202108</v>
      </c>
      <c r="G143" t="s">
        <v>184</v>
      </c>
      <c r="H143">
        <v>127593</v>
      </c>
      <c r="O143">
        <v>5369</v>
      </c>
      <c r="P143" t="s">
        <v>2326</v>
      </c>
      <c r="Q143">
        <v>5697</v>
      </c>
      <c r="R143" t="s">
        <v>2199</v>
      </c>
      <c r="S143" t="s">
        <v>2034</v>
      </c>
      <c r="T143">
        <v>202202</v>
      </c>
      <c r="U143" t="s">
        <v>191</v>
      </c>
      <c r="V143">
        <v>127263</v>
      </c>
    </row>
    <row r="144" spans="1:22">
      <c r="A144">
        <v>5369</v>
      </c>
      <c r="B144" t="s">
        <v>2326</v>
      </c>
      <c r="C144">
        <v>5697</v>
      </c>
      <c r="D144" t="s">
        <v>2199</v>
      </c>
      <c r="E144" t="s">
        <v>2034</v>
      </c>
      <c r="F144">
        <v>202108</v>
      </c>
      <c r="G144" t="s">
        <v>192</v>
      </c>
      <c r="H144">
        <v>0</v>
      </c>
      <c r="O144">
        <v>5369</v>
      </c>
      <c r="P144" t="s">
        <v>2326</v>
      </c>
      <c r="Q144">
        <v>5697</v>
      </c>
      <c r="R144" t="s">
        <v>2199</v>
      </c>
      <c r="S144" t="s">
        <v>2034</v>
      </c>
      <c r="T144">
        <v>202202</v>
      </c>
      <c r="U144" t="s">
        <v>178</v>
      </c>
      <c r="V144">
        <v>6774</v>
      </c>
    </row>
    <row r="145" spans="1:22">
      <c r="A145">
        <v>5369</v>
      </c>
      <c r="B145" t="s">
        <v>2326</v>
      </c>
      <c r="C145">
        <v>5697</v>
      </c>
      <c r="D145" t="s">
        <v>2199</v>
      </c>
      <c r="E145" t="s">
        <v>2034</v>
      </c>
      <c r="F145">
        <v>202108</v>
      </c>
      <c r="G145" t="s">
        <v>2168</v>
      </c>
      <c r="H145">
        <v>495.83</v>
      </c>
      <c r="O145">
        <v>5369</v>
      </c>
      <c r="P145" t="s">
        <v>2326</v>
      </c>
      <c r="Q145">
        <v>5697</v>
      </c>
      <c r="R145" t="s">
        <v>2199</v>
      </c>
      <c r="S145" t="s">
        <v>2034</v>
      </c>
      <c r="T145">
        <v>202202</v>
      </c>
      <c r="U145" t="s">
        <v>180</v>
      </c>
      <c r="V145">
        <v>4000</v>
      </c>
    </row>
    <row r="146" spans="1:22">
      <c r="A146">
        <v>5369</v>
      </c>
      <c r="B146" t="s">
        <v>2326</v>
      </c>
      <c r="C146">
        <v>5697</v>
      </c>
      <c r="D146" t="s">
        <v>2199</v>
      </c>
      <c r="E146" t="s">
        <v>2034</v>
      </c>
      <c r="F146">
        <v>202108</v>
      </c>
      <c r="G146" t="s">
        <v>2167</v>
      </c>
      <c r="H146">
        <v>50</v>
      </c>
      <c r="O146">
        <v>5369</v>
      </c>
      <c r="P146" t="s">
        <v>2326</v>
      </c>
      <c r="Q146">
        <v>5697</v>
      </c>
      <c r="R146" t="s">
        <v>2199</v>
      </c>
      <c r="S146" t="s">
        <v>2034</v>
      </c>
      <c r="T146">
        <v>202202</v>
      </c>
      <c r="U146" t="s">
        <v>182</v>
      </c>
      <c r="V146">
        <v>2056469</v>
      </c>
    </row>
    <row r="147" spans="1:22">
      <c r="A147">
        <v>5369</v>
      </c>
      <c r="B147" t="s">
        <v>2326</v>
      </c>
      <c r="C147">
        <v>5697</v>
      </c>
      <c r="D147" t="s">
        <v>2199</v>
      </c>
      <c r="E147" t="s">
        <v>2034</v>
      </c>
      <c r="F147">
        <v>202108</v>
      </c>
      <c r="G147" t="s">
        <v>2164</v>
      </c>
      <c r="H147">
        <v>12.33</v>
      </c>
      <c r="O147">
        <v>5369</v>
      </c>
      <c r="P147" t="s">
        <v>2326</v>
      </c>
      <c r="Q147">
        <v>5697</v>
      </c>
      <c r="R147" t="s">
        <v>2199</v>
      </c>
      <c r="S147" t="s">
        <v>2034</v>
      </c>
      <c r="T147">
        <v>202202</v>
      </c>
      <c r="U147" t="s">
        <v>184</v>
      </c>
      <c r="V147">
        <v>127263</v>
      </c>
    </row>
    <row r="148" spans="1:22">
      <c r="A148">
        <v>5369</v>
      </c>
      <c r="B148" t="s">
        <v>2326</v>
      </c>
      <c r="C148">
        <v>5697</v>
      </c>
      <c r="D148" t="s">
        <v>2199</v>
      </c>
      <c r="E148" t="s">
        <v>2034</v>
      </c>
      <c r="F148">
        <v>202108</v>
      </c>
      <c r="G148" t="s">
        <v>2165</v>
      </c>
      <c r="H148">
        <v>23.94</v>
      </c>
      <c r="O148">
        <v>5369</v>
      </c>
      <c r="P148" t="s">
        <v>2326</v>
      </c>
      <c r="Q148">
        <v>5697</v>
      </c>
      <c r="R148" t="s">
        <v>2199</v>
      </c>
      <c r="S148" t="s">
        <v>2034</v>
      </c>
      <c r="T148">
        <v>202202</v>
      </c>
      <c r="U148" t="s">
        <v>186</v>
      </c>
      <c r="V148">
        <v>59511</v>
      </c>
    </row>
    <row r="149" spans="1:22">
      <c r="A149">
        <v>5369</v>
      </c>
      <c r="B149" t="s">
        <v>2326</v>
      </c>
      <c r="C149">
        <v>5697</v>
      </c>
      <c r="D149" t="s">
        <v>2199</v>
      </c>
      <c r="E149" t="s">
        <v>2034</v>
      </c>
      <c r="F149">
        <v>202108</v>
      </c>
      <c r="G149" t="s">
        <v>2166</v>
      </c>
      <c r="H149">
        <v>10.17</v>
      </c>
      <c r="O149">
        <v>5369</v>
      </c>
      <c r="P149" t="s">
        <v>2326</v>
      </c>
      <c r="Q149">
        <v>5697</v>
      </c>
      <c r="R149" t="s">
        <v>2199</v>
      </c>
      <c r="S149" t="s">
        <v>2034</v>
      </c>
      <c r="T149">
        <v>202203</v>
      </c>
      <c r="U149" t="s">
        <v>190</v>
      </c>
      <c r="V149">
        <v>1775631</v>
      </c>
    </row>
    <row r="150" spans="1:22">
      <c r="A150">
        <v>5369</v>
      </c>
      <c r="B150" t="s">
        <v>2326</v>
      </c>
      <c r="C150">
        <v>5697</v>
      </c>
      <c r="D150" t="s">
        <v>2199</v>
      </c>
      <c r="E150" t="s">
        <v>2034</v>
      </c>
      <c r="F150">
        <v>202108</v>
      </c>
      <c r="G150" t="s">
        <v>2169</v>
      </c>
      <c r="H150">
        <v>275458.19</v>
      </c>
      <c r="O150">
        <v>5369</v>
      </c>
      <c r="P150" t="s">
        <v>2326</v>
      </c>
      <c r="Q150">
        <v>5697</v>
      </c>
      <c r="R150" t="s">
        <v>2199</v>
      </c>
      <c r="S150" t="s">
        <v>2034</v>
      </c>
      <c r="T150">
        <v>202203</v>
      </c>
      <c r="U150" t="s">
        <v>191</v>
      </c>
      <c r="V150">
        <v>118639</v>
      </c>
    </row>
    <row r="151" spans="1:22">
      <c r="A151">
        <v>5369</v>
      </c>
      <c r="B151" t="s">
        <v>2326</v>
      </c>
      <c r="C151">
        <v>5697</v>
      </c>
      <c r="D151" t="s">
        <v>2199</v>
      </c>
      <c r="E151" t="s">
        <v>2034</v>
      </c>
      <c r="F151">
        <v>202108</v>
      </c>
      <c r="G151" t="s">
        <v>190</v>
      </c>
      <c r="H151">
        <v>749250</v>
      </c>
      <c r="O151">
        <v>5369</v>
      </c>
      <c r="P151" t="s">
        <v>2326</v>
      </c>
      <c r="Q151">
        <v>5697</v>
      </c>
      <c r="R151" t="s">
        <v>2199</v>
      </c>
      <c r="S151" t="s">
        <v>2034</v>
      </c>
      <c r="T151">
        <v>202203</v>
      </c>
      <c r="U151" t="s">
        <v>178</v>
      </c>
      <c r="V151">
        <v>6088</v>
      </c>
    </row>
    <row r="152" spans="1:22">
      <c r="A152">
        <v>5369</v>
      </c>
      <c r="B152" t="s">
        <v>2326</v>
      </c>
      <c r="C152">
        <v>5697</v>
      </c>
      <c r="D152" t="s">
        <v>2199</v>
      </c>
      <c r="E152" t="s">
        <v>2034</v>
      </c>
      <c r="F152">
        <v>202108</v>
      </c>
      <c r="G152" t="s">
        <v>191</v>
      </c>
      <c r="H152">
        <v>53544</v>
      </c>
      <c r="O152">
        <v>5369</v>
      </c>
      <c r="P152" t="s">
        <v>2326</v>
      </c>
      <c r="Q152">
        <v>5697</v>
      </c>
      <c r="R152" t="s">
        <v>2199</v>
      </c>
      <c r="S152" t="s">
        <v>2034</v>
      </c>
      <c r="T152">
        <v>202203</v>
      </c>
      <c r="U152" t="s">
        <v>180</v>
      </c>
      <c r="V152">
        <v>4000</v>
      </c>
    </row>
    <row r="153" spans="1:22">
      <c r="A153">
        <v>5369</v>
      </c>
      <c r="B153" t="s">
        <v>2326</v>
      </c>
      <c r="C153">
        <v>5697</v>
      </c>
      <c r="D153" t="s">
        <v>2199</v>
      </c>
      <c r="E153" t="s">
        <v>2034</v>
      </c>
      <c r="F153">
        <v>202108</v>
      </c>
      <c r="G153" t="s">
        <v>176</v>
      </c>
      <c r="H153">
        <v>0</v>
      </c>
      <c r="O153">
        <v>5369</v>
      </c>
      <c r="P153" t="s">
        <v>2326</v>
      </c>
      <c r="Q153">
        <v>5697</v>
      </c>
      <c r="R153" t="s">
        <v>2199</v>
      </c>
      <c r="S153" t="s">
        <v>2034</v>
      </c>
      <c r="T153">
        <v>202203</v>
      </c>
      <c r="U153" t="s">
        <v>182</v>
      </c>
      <c r="V153">
        <v>1828930</v>
      </c>
    </row>
    <row r="154" spans="1:22">
      <c r="A154">
        <v>5369</v>
      </c>
      <c r="B154" t="s">
        <v>2326</v>
      </c>
      <c r="C154">
        <v>5697</v>
      </c>
      <c r="D154" t="s">
        <v>2199</v>
      </c>
      <c r="E154" t="s">
        <v>2034</v>
      </c>
      <c r="F154">
        <v>202108</v>
      </c>
      <c r="G154" t="s">
        <v>178</v>
      </c>
      <c r="H154">
        <v>2298</v>
      </c>
      <c r="O154">
        <v>5369</v>
      </c>
      <c r="P154" t="s">
        <v>2326</v>
      </c>
      <c r="Q154">
        <v>5697</v>
      </c>
      <c r="R154" t="s">
        <v>2199</v>
      </c>
      <c r="S154" t="s">
        <v>2034</v>
      </c>
      <c r="T154">
        <v>202203</v>
      </c>
      <c r="U154" t="s">
        <v>184</v>
      </c>
      <c r="V154">
        <v>118639</v>
      </c>
    </row>
    <row r="155" spans="1:22">
      <c r="A155">
        <v>5369</v>
      </c>
      <c r="B155" t="s">
        <v>2326</v>
      </c>
      <c r="C155">
        <v>5697</v>
      </c>
      <c r="D155" t="s">
        <v>2199</v>
      </c>
      <c r="E155" t="s">
        <v>2034</v>
      </c>
      <c r="F155">
        <v>202108</v>
      </c>
      <c r="G155" t="s">
        <v>180</v>
      </c>
      <c r="H155">
        <v>1550</v>
      </c>
      <c r="O155">
        <v>5369</v>
      </c>
      <c r="P155" t="s">
        <v>2326</v>
      </c>
      <c r="Q155">
        <v>5697</v>
      </c>
      <c r="R155" t="s">
        <v>2199</v>
      </c>
      <c r="S155" t="s">
        <v>2034</v>
      </c>
      <c r="T155">
        <v>202203</v>
      </c>
      <c r="U155" t="s">
        <v>186</v>
      </c>
      <c r="V155">
        <v>53299</v>
      </c>
    </row>
    <row r="156" spans="1:22">
      <c r="A156">
        <v>5369</v>
      </c>
      <c r="B156" t="s">
        <v>2326</v>
      </c>
      <c r="C156">
        <v>5697</v>
      </c>
      <c r="D156" t="s">
        <v>2199</v>
      </c>
      <c r="E156" t="s">
        <v>2034</v>
      </c>
      <c r="F156">
        <v>202108</v>
      </c>
      <c r="G156" t="s">
        <v>182</v>
      </c>
      <c r="H156">
        <v>749250</v>
      </c>
      <c r="O156">
        <v>5369</v>
      </c>
      <c r="P156" t="s">
        <v>2326</v>
      </c>
      <c r="Q156">
        <v>5697</v>
      </c>
      <c r="R156" t="s">
        <v>2199</v>
      </c>
      <c r="S156" t="s">
        <v>2034</v>
      </c>
      <c r="T156">
        <v>202203</v>
      </c>
      <c r="U156" t="s">
        <v>190</v>
      </c>
      <c r="V156">
        <v>1060569</v>
      </c>
    </row>
    <row r="157" spans="1:22">
      <c r="A157">
        <v>5369</v>
      </c>
      <c r="B157" t="s">
        <v>2326</v>
      </c>
      <c r="C157">
        <v>5697</v>
      </c>
      <c r="D157" t="s">
        <v>2199</v>
      </c>
      <c r="E157" t="s">
        <v>2034</v>
      </c>
      <c r="F157">
        <v>202108</v>
      </c>
      <c r="G157" t="s">
        <v>184</v>
      </c>
      <c r="H157">
        <v>53544</v>
      </c>
      <c r="O157">
        <v>5369</v>
      </c>
      <c r="P157" t="s">
        <v>2326</v>
      </c>
      <c r="Q157">
        <v>5697</v>
      </c>
      <c r="R157" t="s">
        <v>2199</v>
      </c>
      <c r="S157" t="s">
        <v>2034</v>
      </c>
      <c r="T157">
        <v>202203</v>
      </c>
      <c r="U157" t="s">
        <v>191</v>
      </c>
      <c r="V157">
        <v>103716</v>
      </c>
    </row>
    <row r="158" spans="1:22">
      <c r="A158">
        <v>5369</v>
      </c>
      <c r="B158" t="s">
        <v>2326</v>
      </c>
      <c r="C158">
        <v>5697</v>
      </c>
      <c r="D158" t="s">
        <v>2199</v>
      </c>
      <c r="E158" t="s">
        <v>2034</v>
      </c>
      <c r="F158">
        <v>202108</v>
      </c>
      <c r="G158" t="s">
        <v>192</v>
      </c>
      <c r="H158">
        <v>0</v>
      </c>
      <c r="O158">
        <v>5369</v>
      </c>
      <c r="P158" t="s">
        <v>2326</v>
      </c>
      <c r="Q158">
        <v>5697</v>
      </c>
      <c r="R158" t="s">
        <v>2199</v>
      </c>
      <c r="S158" t="s">
        <v>2034</v>
      </c>
      <c r="T158">
        <v>202203</v>
      </c>
      <c r="U158" t="s">
        <v>178</v>
      </c>
      <c r="V158">
        <v>3174</v>
      </c>
    </row>
    <row r="159" spans="1:22">
      <c r="A159">
        <v>5369</v>
      </c>
      <c r="B159" t="s">
        <v>2326</v>
      </c>
      <c r="C159">
        <v>5697</v>
      </c>
      <c r="D159" t="s">
        <v>2199</v>
      </c>
      <c r="E159" t="s">
        <v>2034</v>
      </c>
      <c r="F159">
        <v>202108</v>
      </c>
      <c r="G159" t="s">
        <v>2168</v>
      </c>
      <c r="H159">
        <v>206.54</v>
      </c>
      <c r="O159">
        <v>5369</v>
      </c>
      <c r="P159" t="s">
        <v>2326</v>
      </c>
      <c r="Q159">
        <v>5697</v>
      </c>
      <c r="R159" t="s">
        <v>2199</v>
      </c>
      <c r="S159" t="s">
        <v>2034</v>
      </c>
      <c r="T159">
        <v>202203</v>
      </c>
      <c r="U159" t="s">
        <v>180</v>
      </c>
      <c r="V159">
        <v>2334</v>
      </c>
    </row>
    <row r="160" spans="1:22">
      <c r="A160">
        <v>5369</v>
      </c>
      <c r="B160" t="s">
        <v>2326</v>
      </c>
      <c r="C160">
        <v>5697</v>
      </c>
      <c r="D160" t="s">
        <v>2199</v>
      </c>
      <c r="E160" t="s">
        <v>2034</v>
      </c>
      <c r="F160">
        <v>202108</v>
      </c>
      <c r="G160" t="s">
        <v>2167</v>
      </c>
      <c r="H160">
        <v>50.99</v>
      </c>
      <c r="O160">
        <v>5369</v>
      </c>
      <c r="P160" t="s">
        <v>2326</v>
      </c>
      <c r="Q160">
        <v>5697</v>
      </c>
      <c r="R160" t="s">
        <v>2199</v>
      </c>
      <c r="S160" t="s">
        <v>2034</v>
      </c>
      <c r="T160">
        <v>202203</v>
      </c>
      <c r="U160" t="s">
        <v>182</v>
      </c>
      <c r="V160">
        <v>1060569</v>
      </c>
    </row>
    <row r="161" spans="1:22">
      <c r="A161">
        <v>5369</v>
      </c>
      <c r="B161" t="s">
        <v>2326</v>
      </c>
      <c r="C161">
        <v>5697</v>
      </c>
      <c r="D161" t="s">
        <v>2199</v>
      </c>
      <c r="E161" t="s">
        <v>2034</v>
      </c>
      <c r="F161">
        <v>202108</v>
      </c>
      <c r="G161" t="s">
        <v>2164</v>
      </c>
      <c r="H161">
        <v>12.33</v>
      </c>
      <c r="O161">
        <v>5369</v>
      </c>
      <c r="P161" t="s">
        <v>2326</v>
      </c>
      <c r="Q161">
        <v>5697</v>
      </c>
      <c r="R161" t="s">
        <v>2199</v>
      </c>
      <c r="S161" t="s">
        <v>2034</v>
      </c>
      <c r="T161">
        <v>202203</v>
      </c>
      <c r="U161" t="s">
        <v>184</v>
      </c>
      <c r="V161">
        <v>103716</v>
      </c>
    </row>
    <row r="162" spans="1:22">
      <c r="A162">
        <v>5369</v>
      </c>
      <c r="B162" t="s">
        <v>2326</v>
      </c>
      <c r="C162">
        <v>5697</v>
      </c>
      <c r="D162" t="s">
        <v>2199</v>
      </c>
      <c r="E162" t="s">
        <v>2034</v>
      </c>
      <c r="F162">
        <v>202108</v>
      </c>
      <c r="G162" t="s">
        <v>2165</v>
      </c>
      <c r="H162">
        <v>23.94</v>
      </c>
      <c r="O162">
        <v>5369</v>
      </c>
      <c r="P162" t="s">
        <v>2326</v>
      </c>
      <c r="Q162">
        <v>5697</v>
      </c>
      <c r="R162" t="s">
        <v>2199</v>
      </c>
      <c r="S162" t="s">
        <v>2034</v>
      </c>
      <c r="T162">
        <v>202203</v>
      </c>
      <c r="U162" t="s">
        <v>186</v>
      </c>
      <c r="V162">
        <v>0</v>
      </c>
    </row>
    <row r="163" spans="1:22">
      <c r="A163">
        <v>5369</v>
      </c>
      <c r="B163" t="s">
        <v>2326</v>
      </c>
      <c r="C163">
        <v>5697</v>
      </c>
      <c r="D163" t="s">
        <v>2199</v>
      </c>
      <c r="E163" t="s">
        <v>2034</v>
      </c>
      <c r="F163">
        <v>202108</v>
      </c>
      <c r="G163" t="s">
        <v>2166</v>
      </c>
      <c r="H163">
        <v>10.17</v>
      </c>
      <c r="O163">
        <v>5369</v>
      </c>
      <c r="P163" t="s">
        <v>2326</v>
      </c>
      <c r="Q163">
        <v>5697</v>
      </c>
      <c r="R163" t="s">
        <v>2199</v>
      </c>
      <c r="S163" t="s">
        <v>2034</v>
      </c>
      <c r="T163">
        <v>202203</v>
      </c>
      <c r="U163" t="s">
        <v>190</v>
      </c>
      <c r="V163">
        <v>750783</v>
      </c>
    </row>
    <row r="164" spans="1:22">
      <c r="A164">
        <v>5369</v>
      </c>
      <c r="B164" t="s">
        <v>2326</v>
      </c>
      <c r="C164">
        <v>5697</v>
      </c>
      <c r="D164" t="s">
        <v>2199</v>
      </c>
      <c r="E164" t="s">
        <v>2034</v>
      </c>
      <c r="F164">
        <v>202108</v>
      </c>
      <c r="G164" t="s">
        <v>2169</v>
      </c>
      <c r="H164">
        <v>114749.69</v>
      </c>
      <c r="O164">
        <v>5369</v>
      </c>
      <c r="P164" t="s">
        <v>2326</v>
      </c>
      <c r="Q164">
        <v>5697</v>
      </c>
      <c r="R164" t="s">
        <v>2199</v>
      </c>
      <c r="S164" t="s">
        <v>2034</v>
      </c>
      <c r="T164">
        <v>202203</v>
      </c>
      <c r="U164" t="s">
        <v>191</v>
      </c>
      <c r="V164">
        <v>47729</v>
      </c>
    </row>
    <row r="165" spans="1:22">
      <c r="A165">
        <v>5369</v>
      </c>
      <c r="B165" t="s">
        <v>2326</v>
      </c>
      <c r="C165">
        <v>5697</v>
      </c>
      <c r="D165" t="s">
        <v>2199</v>
      </c>
      <c r="E165" t="s">
        <v>2034</v>
      </c>
      <c r="F165">
        <v>202108</v>
      </c>
      <c r="G165" t="s">
        <v>190</v>
      </c>
      <c r="H165">
        <v>1870084</v>
      </c>
      <c r="O165">
        <v>5369</v>
      </c>
      <c r="P165" t="s">
        <v>2326</v>
      </c>
      <c r="Q165">
        <v>5697</v>
      </c>
      <c r="R165" t="s">
        <v>2199</v>
      </c>
      <c r="S165" t="s">
        <v>2034</v>
      </c>
      <c r="T165">
        <v>202203</v>
      </c>
      <c r="U165" t="s">
        <v>178</v>
      </c>
      <c r="V165">
        <v>2599</v>
      </c>
    </row>
    <row r="166" spans="1:22">
      <c r="A166">
        <v>5369</v>
      </c>
      <c r="B166" t="s">
        <v>2326</v>
      </c>
      <c r="C166">
        <v>5697</v>
      </c>
      <c r="D166" t="s">
        <v>2199</v>
      </c>
      <c r="E166" t="s">
        <v>2034</v>
      </c>
      <c r="F166">
        <v>202108</v>
      </c>
      <c r="G166" t="s">
        <v>191</v>
      </c>
      <c r="H166">
        <v>95260</v>
      </c>
      <c r="O166">
        <v>5369</v>
      </c>
      <c r="P166" t="s">
        <v>2326</v>
      </c>
      <c r="Q166">
        <v>5697</v>
      </c>
      <c r="R166" t="s">
        <v>2199</v>
      </c>
      <c r="S166" t="s">
        <v>2034</v>
      </c>
      <c r="T166">
        <v>202203</v>
      </c>
      <c r="U166" t="s">
        <v>180</v>
      </c>
      <c r="V166">
        <v>1550</v>
      </c>
    </row>
    <row r="167" spans="1:22">
      <c r="A167">
        <v>5369</v>
      </c>
      <c r="B167" t="s">
        <v>2326</v>
      </c>
      <c r="C167">
        <v>5697</v>
      </c>
      <c r="D167" t="s">
        <v>2199</v>
      </c>
      <c r="E167" t="s">
        <v>2034</v>
      </c>
      <c r="F167">
        <v>202108</v>
      </c>
      <c r="G167" t="s">
        <v>176</v>
      </c>
      <c r="H167">
        <v>0</v>
      </c>
      <c r="O167">
        <v>5369</v>
      </c>
      <c r="P167" t="s">
        <v>2326</v>
      </c>
      <c r="Q167">
        <v>5697</v>
      </c>
      <c r="R167" t="s">
        <v>2199</v>
      </c>
      <c r="S167" t="s">
        <v>2034</v>
      </c>
      <c r="T167">
        <v>202203</v>
      </c>
      <c r="U167" t="s">
        <v>182</v>
      </c>
      <c r="V167">
        <v>750783</v>
      </c>
    </row>
    <row r="168" spans="1:22">
      <c r="A168">
        <v>5369</v>
      </c>
      <c r="B168" t="s">
        <v>2326</v>
      </c>
      <c r="C168">
        <v>5697</v>
      </c>
      <c r="D168" t="s">
        <v>2199</v>
      </c>
      <c r="E168" t="s">
        <v>2034</v>
      </c>
      <c r="F168">
        <v>202108</v>
      </c>
      <c r="G168" t="s">
        <v>178</v>
      </c>
      <c r="H168">
        <v>6400</v>
      </c>
      <c r="O168">
        <v>5369</v>
      </c>
      <c r="P168" t="s">
        <v>2326</v>
      </c>
      <c r="Q168">
        <v>5697</v>
      </c>
      <c r="R168" t="s">
        <v>2199</v>
      </c>
      <c r="S168" t="s">
        <v>2034</v>
      </c>
      <c r="T168">
        <v>202203</v>
      </c>
      <c r="U168" t="s">
        <v>184</v>
      </c>
      <c r="V168">
        <v>47729</v>
      </c>
    </row>
    <row r="169" spans="1:22">
      <c r="A169">
        <v>5369</v>
      </c>
      <c r="B169" t="s">
        <v>2326</v>
      </c>
      <c r="C169">
        <v>5697</v>
      </c>
      <c r="D169" t="s">
        <v>2199</v>
      </c>
      <c r="E169" t="s">
        <v>2034</v>
      </c>
      <c r="F169">
        <v>202108</v>
      </c>
      <c r="G169" t="s">
        <v>180</v>
      </c>
      <c r="H169">
        <v>4000</v>
      </c>
      <c r="O169">
        <v>5369</v>
      </c>
      <c r="P169" t="s">
        <v>2326</v>
      </c>
      <c r="Q169">
        <v>5697</v>
      </c>
      <c r="R169" t="s">
        <v>2199</v>
      </c>
      <c r="S169" t="s">
        <v>2034</v>
      </c>
      <c r="T169">
        <v>202203</v>
      </c>
      <c r="U169" t="s">
        <v>186</v>
      </c>
      <c r="V169">
        <v>0</v>
      </c>
    </row>
    <row r="170" spans="1:22">
      <c r="A170">
        <v>5369</v>
      </c>
      <c r="B170" t="s">
        <v>2326</v>
      </c>
      <c r="C170">
        <v>5697</v>
      </c>
      <c r="D170" t="s">
        <v>2199</v>
      </c>
      <c r="E170" t="s">
        <v>2034</v>
      </c>
      <c r="F170">
        <v>202108</v>
      </c>
      <c r="G170" t="s">
        <v>182</v>
      </c>
      <c r="H170">
        <v>1936609</v>
      </c>
      <c r="O170">
        <v>5369</v>
      </c>
      <c r="P170" t="s">
        <v>2326</v>
      </c>
      <c r="Q170">
        <v>5697</v>
      </c>
      <c r="R170" t="s">
        <v>2199</v>
      </c>
      <c r="S170" t="s">
        <v>2034</v>
      </c>
      <c r="T170">
        <v>202204</v>
      </c>
      <c r="U170" t="s">
        <v>190</v>
      </c>
      <c r="V170">
        <v>1121474</v>
      </c>
    </row>
    <row r="171" spans="1:22">
      <c r="A171">
        <v>5369</v>
      </c>
      <c r="B171" t="s">
        <v>2326</v>
      </c>
      <c r="C171">
        <v>5697</v>
      </c>
      <c r="D171" t="s">
        <v>2199</v>
      </c>
      <c r="E171" t="s">
        <v>2034</v>
      </c>
      <c r="F171">
        <v>202108</v>
      </c>
      <c r="G171" t="s">
        <v>184</v>
      </c>
      <c r="H171">
        <v>95260</v>
      </c>
      <c r="O171">
        <v>5369</v>
      </c>
      <c r="P171" t="s">
        <v>2326</v>
      </c>
      <c r="Q171">
        <v>5697</v>
      </c>
      <c r="R171" t="s">
        <v>2199</v>
      </c>
      <c r="S171" t="s">
        <v>2034</v>
      </c>
      <c r="T171">
        <v>202204</v>
      </c>
      <c r="U171" t="s">
        <v>191</v>
      </c>
      <c r="V171">
        <v>106312</v>
      </c>
    </row>
    <row r="172" spans="1:22">
      <c r="A172">
        <v>5369</v>
      </c>
      <c r="B172" t="s">
        <v>2326</v>
      </c>
      <c r="C172">
        <v>5697</v>
      </c>
      <c r="D172" t="s">
        <v>2199</v>
      </c>
      <c r="E172" t="s">
        <v>2034</v>
      </c>
      <c r="F172">
        <v>202108</v>
      </c>
      <c r="G172" t="s">
        <v>192</v>
      </c>
      <c r="H172">
        <v>0</v>
      </c>
      <c r="O172">
        <v>5369</v>
      </c>
      <c r="P172" t="s">
        <v>2326</v>
      </c>
      <c r="Q172">
        <v>5697</v>
      </c>
      <c r="R172" t="s">
        <v>2199</v>
      </c>
      <c r="S172" t="s">
        <v>2034</v>
      </c>
      <c r="T172">
        <v>202204</v>
      </c>
      <c r="U172" t="s">
        <v>178</v>
      </c>
      <c r="V172">
        <v>3305</v>
      </c>
    </row>
    <row r="173" spans="1:22">
      <c r="A173">
        <v>5369</v>
      </c>
      <c r="B173" t="s">
        <v>2326</v>
      </c>
      <c r="C173">
        <v>5697</v>
      </c>
      <c r="D173" t="s">
        <v>2199</v>
      </c>
      <c r="E173" t="s">
        <v>2034</v>
      </c>
      <c r="F173">
        <v>202108</v>
      </c>
      <c r="G173" t="s">
        <v>2168</v>
      </c>
      <c r="H173">
        <v>532.96</v>
      </c>
      <c r="O173">
        <v>5369</v>
      </c>
      <c r="P173" t="s">
        <v>2326</v>
      </c>
      <c r="Q173">
        <v>5697</v>
      </c>
      <c r="R173" t="s">
        <v>2199</v>
      </c>
      <c r="S173" t="s">
        <v>2034</v>
      </c>
      <c r="T173">
        <v>202204</v>
      </c>
      <c r="U173" t="s">
        <v>180</v>
      </c>
      <c r="V173">
        <v>2250</v>
      </c>
    </row>
    <row r="174" spans="1:22">
      <c r="A174">
        <v>5369</v>
      </c>
      <c r="B174" t="s">
        <v>2326</v>
      </c>
      <c r="C174">
        <v>5697</v>
      </c>
      <c r="D174" t="s">
        <v>2199</v>
      </c>
      <c r="E174" t="s">
        <v>2034</v>
      </c>
      <c r="F174">
        <v>202108</v>
      </c>
      <c r="G174" t="s">
        <v>186</v>
      </c>
      <c r="H174">
        <v>66525</v>
      </c>
      <c r="O174">
        <v>5369</v>
      </c>
      <c r="P174" t="s">
        <v>2326</v>
      </c>
      <c r="Q174">
        <v>5697</v>
      </c>
      <c r="R174" t="s">
        <v>2199</v>
      </c>
      <c r="S174" t="s">
        <v>2034</v>
      </c>
      <c r="T174">
        <v>202204</v>
      </c>
      <c r="U174" t="s">
        <v>182</v>
      </c>
      <c r="V174">
        <v>1121474</v>
      </c>
    </row>
    <row r="175" spans="1:22">
      <c r="A175">
        <v>5369</v>
      </c>
      <c r="B175" t="s">
        <v>2326</v>
      </c>
      <c r="C175">
        <v>5697</v>
      </c>
      <c r="D175" t="s">
        <v>2199</v>
      </c>
      <c r="E175" t="s">
        <v>2034</v>
      </c>
      <c r="F175">
        <v>202108</v>
      </c>
      <c r="G175" t="s">
        <v>2167</v>
      </c>
      <c r="H175">
        <v>50.99</v>
      </c>
      <c r="O175">
        <v>5369</v>
      </c>
      <c r="P175" t="s">
        <v>2326</v>
      </c>
      <c r="Q175">
        <v>5697</v>
      </c>
      <c r="R175" t="s">
        <v>2199</v>
      </c>
      <c r="S175" t="s">
        <v>2034</v>
      </c>
      <c r="T175">
        <v>202204</v>
      </c>
      <c r="U175" t="s">
        <v>184</v>
      </c>
      <c r="V175">
        <v>106312</v>
      </c>
    </row>
    <row r="176" spans="1:22">
      <c r="A176">
        <v>5369</v>
      </c>
      <c r="B176" t="s">
        <v>2326</v>
      </c>
      <c r="C176">
        <v>5697</v>
      </c>
      <c r="D176" t="s">
        <v>2199</v>
      </c>
      <c r="E176" t="s">
        <v>2034</v>
      </c>
      <c r="F176">
        <v>202108</v>
      </c>
      <c r="G176" t="s">
        <v>2164</v>
      </c>
      <c r="H176">
        <v>12.33</v>
      </c>
      <c r="O176">
        <v>5369</v>
      </c>
      <c r="P176" t="s">
        <v>2326</v>
      </c>
      <c r="Q176">
        <v>5697</v>
      </c>
      <c r="R176" t="s">
        <v>2199</v>
      </c>
      <c r="S176" t="s">
        <v>2034</v>
      </c>
      <c r="T176">
        <v>202204</v>
      </c>
      <c r="U176" t="s">
        <v>186</v>
      </c>
      <c r="V176">
        <v>0</v>
      </c>
    </row>
    <row r="177" spans="1:22">
      <c r="A177">
        <v>5369</v>
      </c>
      <c r="B177" t="s">
        <v>2326</v>
      </c>
      <c r="C177">
        <v>5697</v>
      </c>
      <c r="D177" t="s">
        <v>2199</v>
      </c>
      <c r="E177" t="s">
        <v>2034</v>
      </c>
      <c r="F177">
        <v>202108</v>
      </c>
      <c r="G177" t="s">
        <v>2165</v>
      </c>
      <c r="H177">
        <v>23.94</v>
      </c>
      <c r="O177">
        <v>5369</v>
      </c>
      <c r="P177" t="s">
        <v>2326</v>
      </c>
      <c r="Q177">
        <v>5697</v>
      </c>
      <c r="R177" t="s">
        <v>2199</v>
      </c>
      <c r="S177" t="s">
        <v>2034</v>
      </c>
      <c r="T177">
        <v>202204</v>
      </c>
      <c r="U177" t="s">
        <v>190</v>
      </c>
      <c r="V177">
        <v>819299</v>
      </c>
    </row>
    <row r="178" spans="1:22">
      <c r="A178">
        <v>5369</v>
      </c>
      <c r="B178" t="s">
        <v>2326</v>
      </c>
      <c r="C178">
        <v>5697</v>
      </c>
      <c r="D178" t="s">
        <v>2199</v>
      </c>
      <c r="E178" t="s">
        <v>2034</v>
      </c>
      <c r="F178">
        <v>202108</v>
      </c>
      <c r="G178" t="s">
        <v>2166</v>
      </c>
      <c r="H178">
        <v>10.17</v>
      </c>
      <c r="O178">
        <v>5369</v>
      </c>
      <c r="P178" t="s">
        <v>2326</v>
      </c>
      <c r="Q178">
        <v>5697</v>
      </c>
      <c r="R178" t="s">
        <v>2199</v>
      </c>
      <c r="S178" t="s">
        <v>2034</v>
      </c>
      <c r="T178">
        <v>202204</v>
      </c>
      <c r="U178" t="s">
        <v>191</v>
      </c>
      <c r="V178">
        <v>54491</v>
      </c>
    </row>
    <row r="179" spans="1:22">
      <c r="A179">
        <v>5369</v>
      </c>
      <c r="B179" t="s">
        <v>2326</v>
      </c>
      <c r="C179">
        <v>5697</v>
      </c>
      <c r="D179" t="s">
        <v>2199</v>
      </c>
      <c r="E179" t="s">
        <v>2034</v>
      </c>
      <c r="F179">
        <v>202108</v>
      </c>
      <c r="G179" t="s">
        <v>2169</v>
      </c>
      <c r="H179">
        <v>296081.94</v>
      </c>
      <c r="O179">
        <v>5369</v>
      </c>
      <c r="P179" t="s">
        <v>2326</v>
      </c>
      <c r="Q179">
        <v>5697</v>
      </c>
      <c r="R179" t="s">
        <v>2199</v>
      </c>
      <c r="S179" t="s">
        <v>2034</v>
      </c>
      <c r="T179">
        <v>202204</v>
      </c>
      <c r="U179" t="s">
        <v>178</v>
      </c>
      <c r="V179">
        <v>2533</v>
      </c>
    </row>
    <row r="180" spans="1:22">
      <c r="A180">
        <v>5369</v>
      </c>
      <c r="B180" t="s">
        <v>2326</v>
      </c>
      <c r="C180">
        <v>5697</v>
      </c>
      <c r="D180" t="s">
        <v>2199</v>
      </c>
      <c r="E180" t="s">
        <v>2034</v>
      </c>
      <c r="F180">
        <v>202109</v>
      </c>
      <c r="G180" t="s">
        <v>190</v>
      </c>
      <c r="H180">
        <v>743627</v>
      </c>
      <c r="O180">
        <v>5369</v>
      </c>
      <c r="P180" t="s">
        <v>2326</v>
      </c>
      <c r="Q180">
        <v>5697</v>
      </c>
      <c r="R180" t="s">
        <v>2199</v>
      </c>
      <c r="S180" t="s">
        <v>2034</v>
      </c>
      <c r="T180">
        <v>202204</v>
      </c>
      <c r="U180" t="s">
        <v>180</v>
      </c>
      <c r="V180">
        <v>1550</v>
      </c>
    </row>
    <row r="181" spans="1:22">
      <c r="A181">
        <v>5369</v>
      </c>
      <c r="B181" t="s">
        <v>2326</v>
      </c>
      <c r="C181">
        <v>5697</v>
      </c>
      <c r="D181" t="s">
        <v>2199</v>
      </c>
      <c r="E181" t="s">
        <v>2034</v>
      </c>
      <c r="F181">
        <v>202109</v>
      </c>
      <c r="G181" t="s">
        <v>191</v>
      </c>
      <c r="H181">
        <v>52426</v>
      </c>
      <c r="O181">
        <v>5369</v>
      </c>
      <c r="P181" t="s">
        <v>2326</v>
      </c>
      <c r="Q181">
        <v>5697</v>
      </c>
      <c r="R181" t="s">
        <v>2199</v>
      </c>
      <c r="S181" t="s">
        <v>2034</v>
      </c>
      <c r="T181">
        <v>202204</v>
      </c>
      <c r="U181" t="s">
        <v>182</v>
      </c>
      <c r="V181">
        <v>819299</v>
      </c>
    </row>
    <row r="182" spans="1:22">
      <c r="A182">
        <v>5369</v>
      </c>
      <c r="B182" t="s">
        <v>2326</v>
      </c>
      <c r="C182">
        <v>5697</v>
      </c>
      <c r="D182" t="s">
        <v>2199</v>
      </c>
      <c r="E182" t="s">
        <v>2034</v>
      </c>
      <c r="F182">
        <v>202109</v>
      </c>
      <c r="G182" t="s">
        <v>176</v>
      </c>
      <c r="H182">
        <v>0</v>
      </c>
      <c r="O182">
        <v>5369</v>
      </c>
      <c r="P182" t="s">
        <v>2326</v>
      </c>
      <c r="Q182">
        <v>5697</v>
      </c>
      <c r="R182" t="s">
        <v>2199</v>
      </c>
      <c r="S182" t="s">
        <v>2034</v>
      </c>
      <c r="T182">
        <v>202204</v>
      </c>
      <c r="U182" t="s">
        <v>184</v>
      </c>
      <c r="V182">
        <v>54491</v>
      </c>
    </row>
    <row r="183" spans="1:22">
      <c r="A183">
        <v>5369</v>
      </c>
      <c r="B183" t="s">
        <v>2326</v>
      </c>
      <c r="C183">
        <v>5697</v>
      </c>
      <c r="D183" t="s">
        <v>2199</v>
      </c>
      <c r="E183" t="s">
        <v>2034</v>
      </c>
      <c r="F183">
        <v>202109</v>
      </c>
      <c r="G183" t="s">
        <v>178</v>
      </c>
      <c r="H183">
        <v>2391</v>
      </c>
      <c r="O183">
        <v>5369</v>
      </c>
      <c r="P183" t="s">
        <v>2326</v>
      </c>
      <c r="Q183">
        <v>5697</v>
      </c>
      <c r="R183" t="s">
        <v>2199</v>
      </c>
      <c r="S183" t="s">
        <v>2034</v>
      </c>
      <c r="T183">
        <v>202204</v>
      </c>
      <c r="U183" t="s">
        <v>186</v>
      </c>
      <c r="V183">
        <v>0</v>
      </c>
    </row>
    <row r="184" spans="1:22">
      <c r="A184">
        <v>5369</v>
      </c>
      <c r="B184" t="s">
        <v>2326</v>
      </c>
      <c r="C184">
        <v>5697</v>
      </c>
      <c r="D184" t="s">
        <v>2199</v>
      </c>
      <c r="E184" t="s">
        <v>2034</v>
      </c>
      <c r="F184">
        <v>202109</v>
      </c>
      <c r="G184" t="s">
        <v>180</v>
      </c>
      <c r="H184">
        <v>1550</v>
      </c>
      <c r="O184">
        <v>5369</v>
      </c>
      <c r="P184" t="s">
        <v>2326</v>
      </c>
      <c r="Q184">
        <v>5697</v>
      </c>
      <c r="R184" t="s">
        <v>2199</v>
      </c>
      <c r="S184" t="s">
        <v>2034</v>
      </c>
      <c r="T184">
        <v>202204</v>
      </c>
      <c r="U184" t="s">
        <v>190</v>
      </c>
      <c r="V184">
        <v>2244738</v>
      </c>
    </row>
    <row r="185" spans="1:22">
      <c r="A185">
        <v>5369</v>
      </c>
      <c r="B185" t="s">
        <v>2326</v>
      </c>
      <c r="C185">
        <v>5697</v>
      </c>
      <c r="D185" t="s">
        <v>2199</v>
      </c>
      <c r="E185" t="s">
        <v>2034</v>
      </c>
      <c r="F185">
        <v>202109</v>
      </c>
      <c r="G185" t="s">
        <v>182</v>
      </c>
      <c r="H185">
        <v>743627</v>
      </c>
      <c r="O185">
        <v>5369</v>
      </c>
      <c r="P185" t="s">
        <v>2326</v>
      </c>
      <c r="Q185">
        <v>5697</v>
      </c>
      <c r="R185" t="s">
        <v>2199</v>
      </c>
      <c r="S185" t="s">
        <v>2034</v>
      </c>
      <c r="T185">
        <v>202204</v>
      </c>
      <c r="U185" t="s">
        <v>191</v>
      </c>
      <c r="V185">
        <v>136785</v>
      </c>
    </row>
    <row r="186" spans="1:22">
      <c r="A186">
        <v>5369</v>
      </c>
      <c r="B186" t="s">
        <v>2326</v>
      </c>
      <c r="C186">
        <v>5697</v>
      </c>
      <c r="D186" t="s">
        <v>2199</v>
      </c>
      <c r="E186" t="s">
        <v>2034</v>
      </c>
      <c r="F186">
        <v>202109</v>
      </c>
      <c r="G186" t="s">
        <v>184</v>
      </c>
      <c r="H186">
        <v>52426</v>
      </c>
      <c r="O186">
        <v>5369</v>
      </c>
      <c r="P186" t="s">
        <v>2326</v>
      </c>
      <c r="Q186">
        <v>5697</v>
      </c>
      <c r="R186" t="s">
        <v>2199</v>
      </c>
      <c r="S186" t="s">
        <v>2034</v>
      </c>
      <c r="T186">
        <v>202204</v>
      </c>
      <c r="U186" t="s">
        <v>178</v>
      </c>
      <c r="V186">
        <v>6377</v>
      </c>
    </row>
    <row r="187" spans="1:22">
      <c r="A187">
        <v>5369</v>
      </c>
      <c r="B187" t="s">
        <v>2326</v>
      </c>
      <c r="C187">
        <v>5697</v>
      </c>
      <c r="D187" t="s">
        <v>2199</v>
      </c>
      <c r="E187" t="s">
        <v>2034</v>
      </c>
      <c r="F187">
        <v>202109</v>
      </c>
      <c r="G187" t="s">
        <v>192</v>
      </c>
      <c r="H187">
        <v>0</v>
      </c>
      <c r="O187">
        <v>5369</v>
      </c>
      <c r="P187" t="s">
        <v>2326</v>
      </c>
      <c r="Q187">
        <v>5697</v>
      </c>
      <c r="R187" t="s">
        <v>2199</v>
      </c>
      <c r="S187" t="s">
        <v>2034</v>
      </c>
      <c r="T187">
        <v>202204</v>
      </c>
      <c r="U187" t="s">
        <v>180</v>
      </c>
      <c r="V187">
        <v>4000</v>
      </c>
    </row>
    <row r="188" spans="1:22">
      <c r="A188">
        <v>5369</v>
      </c>
      <c r="B188" t="s">
        <v>2326</v>
      </c>
      <c r="C188">
        <v>5697</v>
      </c>
      <c r="D188" t="s">
        <v>2199</v>
      </c>
      <c r="E188" t="s">
        <v>2034</v>
      </c>
      <c r="F188">
        <v>202109</v>
      </c>
      <c r="G188" t="s">
        <v>2168</v>
      </c>
      <c r="H188">
        <v>462.94</v>
      </c>
      <c r="O188">
        <v>5369</v>
      </c>
      <c r="P188" t="s">
        <v>2326</v>
      </c>
      <c r="Q188">
        <v>5697</v>
      </c>
      <c r="R188" t="s">
        <v>2199</v>
      </c>
      <c r="S188" t="s">
        <v>2034</v>
      </c>
      <c r="T188">
        <v>202204</v>
      </c>
      <c r="U188" t="s">
        <v>182</v>
      </c>
      <c r="V188">
        <v>2302344</v>
      </c>
    </row>
    <row r="189" spans="1:22">
      <c r="A189">
        <v>5369</v>
      </c>
      <c r="B189" t="s">
        <v>2326</v>
      </c>
      <c r="C189">
        <v>5697</v>
      </c>
      <c r="D189" t="s">
        <v>2199</v>
      </c>
      <c r="E189" t="s">
        <v>2034</v>
      </c>
      <c r="F189">
        <v>202109</v>
      </c>
      <c r="G189" t="s">
        <v>186</v>
      </c>
      <c r="H189">
        <v>0</v>
      </c>
      <c r="O189">
        <v>5369</v>
      </c>
      <c r="P189" t="s">
        <v>2326</v>
      </c>
      <c r="Q189">
        <v>5697</v>
      </c>
      <c r="R189" t="s">
        <v>2199</v>
      </c>
      <c r="S189" t="s">
        <v>2034</v>
      </c>
      <c r="T189">
        <v>202204</v>
      </c>
      <c r="U189" t="s">
        <v>184</v>
      </c>
      <c r="V189">
        <v>136785</v>
      </c>
    </row>
    <row r="190" spans="1:22">
      <c r="A190">
        <v>5369</v>
      </c>
      <c r="B190" t="s">
        <v>2326</v>
      </c>
      <c r="C190">
        <v>5697</v>
      </c>
      <c r="D190" t="s">
        <v>2199</v>
      </c>
      <c r="E190" t="s">
        <v>2034</v>
      </c>
      <c r="F190">
        <v>202109</v>
      </c>
      <c r="G190" t="s">
        <v>2167</v>
      </c>
      <c r="H190">
        <v>50.99</v>
      </c>
      <c r="O190">
        <v>5369</v>
      </c>
      <c r="P190" t="s">
        <v>2326</v>
      </c>
      <c r="Q190">
        <v>5697</v>
      </c>
      <c r="R190" t="s">
        <v>2199</v>
      </c>
      <c r="S190" t="s">
        <v>2034</v>
      </c>
      <c r="T190">
        <v>202204</v>
      </c>
      <c r="U190" t="s">
        <v>186</v>
      </c>
      <c r="V190">
        <v>57606</v>
      </c>
    </row>
    <row r="191" spans="1:22">
      <c r="A191">
        <v>5369</v>
      </c>
      <c r="B191" t="s">
        <v>2326</v>
      </c>
      <c r="C191">
        <v>5697</v>
      </c>
      <c r="D191" t="s">
        <v>2199</v>
      </c>
      <c r="E191" t="s">
        <v>2034</v>
      </c>
      <c r="F191">
        <v>202109</v>
      </c>
      <c r="G191" t="s">
        <v>2164</v>
      </c>
      <c r="H191">
        <v>12.33</v>
      </c>
      <c r="O191">
        <v>5369</v>
      </c>
      <c r="P191" t="s">
        <v>2326</v>
      </c>
      <c r="Q191">
        <v>5697</v>
      </c>
      <c r="R191" t="s">
        <v>2199</v>
      </c>
      <c r="S191" t="s">
        <v>2034</v>
      </c>
      <c r="T191">
        <v>202205</v>
      </c>
      <c r="U191" t="s">
        <v>190</v>
      </c>
      <c r="V191">
        <v>1040423</v>
      </c>
    </row>
    <row r="192" spans="1:22">
      <c r="A192">
        <v>5369</v>
      </c>
      <c r="B192" t="s">
        <v>2326</v>
      </c>
      <c r="C192">
        <v>5697</v>
      </c>
      <c r="D192" t="s">
        <v>2199</v>
      </c>
      <c r="E192" t="s">
        <v>2034</v>
      </c>
      <c r="F192">
        <v>202109</v>
      </c>
      <c r="G192" t="s">
        <v>2165</v>
      </c>
      <c r="H192">
        <v>23.94</v>
      </c>
      <c r="O192">
        <v>5369</v>
      </c>
      <c r="P192" t="s">
        <v>2326</v>
      </c>
      <c r="Q192">
        <v>5697</v>
      </c>
      <c r="R192" t="s">
        <v>2199</v>
      </c>
      <c r="S192" t="s">
        <v>2034</v>
      </c>
      <c r="T192">
        <v>202205</v>
      </c>
      <c r="U192" t="s">
        <v>191</v>
      </c>
      <c r="V192">
        <v>91525</v>
      </c>
    </row>
    <row r="193" spans="1:22">
      <c r="A193">
        <v>5369</v>
      </c>
      <c r="B193" t="s">
        <v>2326</v>
      </c>
      <c r="C193">
        <v>5697</v>
      </c>
      <c r="D193" t="s">
        <v>2199</v>
      </c>
      <c r="E193" t="s">
        <v>2034</v>
      </c>
      <c r="F193">
        <v>202109</v>
      </c>
      <c r="G193" t="s">
        <v>2166</v>
      </c>
      <c r="H193">
        <v>10.17</v>
      </c>
      <c r="O193">
        <v>5369</v>
      </c>
      <c r="P193" t="s">
        <v>2326</v>
      </c>
      <c r="Q193">
        <v>5697</v>
      </c>
      <c r="R193" t="s">
        <v>2199</v>
      </c>
      <c r="S193" t="s">
        <v>2034</v>
      </c>
      <c r="T193">
        <v>202205</v>
      </c>
      <c r="U193" t="s">
        <v>178</v>
      </c>
      <c r="V193">
        <v>2811</v>
      </c>
    </row>
    <row r="194" spans="1:22">
      <c r="A194">
        <v>5369</v>
      </c>
      <c r="B194" t="s">
        <v>2326</v>
      </c>
      <c r="C194">
        <v>5697</v>
      </c>
      <c r="D194" t="s">
        <v>2199</v>
      </c>
      <c r="E194" t="s">
        <v>2034</v>
      </c>
      <c r="F194">
        <v>202109</v>
      </c>
      <c r="G194" t="s">
        <v>2169</v>
      </c>
      <c r="H194">
        <v>115733.12</v>
      </c>
      <c r="O194">
        <v>5369</v>
      </c>
      <c r="P194" t="s">
        <v>2326</v>
      </c>
      <c r="Q194">
        <v>5697</v>
      </c>
      <c r="R194" t="s">
        <v>2199</v>
      </c>
      <c r="S194" t="s">
        <v>2034</v>
      </c>
      <c r="T194">
        <v>202205</v>
      </c>
      <c r="U194" t="s">
        <v>180</v>
      </c>
      <c r="V194">
        <v>2250</v>
      </c>
    </row>
    <row r="195" spans="1:22">
      <c r="A195">
        <v>5369</v>
      </c>
      <c r="B195" t="s">
        <v>2326</v>
      </c>
      <c r="C195">
        <v>5697</v>
      </c>
      <c r="D195" t="s">
        <v>2199</v>
      </c>
      <c r="E195" t="s">
        <v>2034</v>
      </c>
      <c r="F195">
        <v>202109</v>
      </c>
      <c r="G195" t="s">
        <v>190</v>
      </c>
      <c r="H195">
        <v>1123871</v>
      </c>
      <c r="O195">
        <v>5369</v>
      </c>
      <c r="P195" t="s">
        <v>2326</v>
      </c>
      <c r="Q195">
        <v>5697</v>
      </c>
      <c r="R195" t="s">
        <v>2199</v>
      </c>
      <c r="S195" t="s">
        <v>2034</v>
      </c>
      <c r="T195">
        <v>202205</v>
      </c>
      <c r="U195" t="s">
        <v>182</v>
      </c>
      <c r="V195">
        <v>1040423</v>
      </c>
    </row>
    <row r="196" spans="1:22">
      <c r="A196">
        <v>5369</v>
      </c>
      <c r="B196" t="s">
        <v>2326</v>
      </c>
      <c r="C196">
        <v>5697</v>
      </c>
      <c r="D196" t="s">
        <v>2199</v>
      </c>
      <c r="E196" t="s">
        <v>2034</v>
      </c>
      <c r="F196">
        <v>202109</v>
      </c>
      <c r="G196" t="s">
        <v>191</v>
      </c>
      <c r="H196">
        <v>112003</v>
      </c>
      <c r="O196">
        <v>5369</v>
      </c>
      <c r="P196" t="s">
        <v>2326</v>
      </c>
      <c r="Q196">
        <v>5697</v>
      </c>
      <c r="R196" t="s">
        <v>2199</v>
      </c>
      <c r="S196" t="s">
        <v>2034</v>
      </c>
      <c r="T196">
        <v>202205</v>
      </c>
      <c r="U196" t="s">
        <v>184</v>
      </c>
      <c r="V196">
        <v>91525</v>
      </c>
    </row>
    <row r="197" spans="1:22">
      <c r="A197">
        <v>5369</v>
      </c>
      <c r="B197" t="s">
        <v>2326</v>
      </c>
      <c r="C197">
        <v>5697</v>
      </c>
      <c r="D197" t="s">
        <v>2199</v>
      </c>
      <c r="E197" t="s">
        <v>2034</v>
      </c>
      <c r="F197">
        <v>202109</v>
      </c>
      <c r="G197" t="s">
        <v>176</v>
      </c>
      <c r="H197">
        <v>0</v>
      </c>
      <c r="O197">
        <v>5369</v>
      </c>
      <c r="P197" t="s">
        <v>2326</v>
      </c>
      <c r="Q197">
        <v>5697</v>
      </c>
      <c r="R197" t="s">
        <v>2199</v>
      </c>
      <c r="S197" t="s">
        <v>2034</v>
      </c>
      <c r="T197">
        <v>202205</v>
      </c>
      <c r="U197" t="s">
        <v>186</v>
      </c>
      <c r="V197">
        <v>0</v>
      </c>
    </row>
    <row r="198" spans="1:22">
      <c r="A198">
        <v>5369</v>
      </c>
      <c r="B198" t="s">
        <v>2326</v>
      </c>
      <c r="C198">
        <v>5697</v>
      </c>
      <c r="D198" t="s">
        <v>2199</v>
      </c>
      <c r="E198" t="s">
        <v>2034</v>
      </c>
      <c r="F198">
        <v>202109</v>
      </c>
      <c r="G198" t="s">
        <v>178</v>
      </c>
      <c r="H198">
        <v>3076</v>
      </c>
      <c r="O198">
        <v>5369</v>
      </c>
      <c r="P198" t="s">
        <v>2326</v>
      </c>
      <c r="Q198">
        <v>5697</v>
      </c>
      <c r="R198" t="s">
        <v>2199</v>
      </c>
      <c r="S198" t="s">
        <v>2034</v>
      </c>
      <c r="T198">
        <v>202205</v>
      </c>
      <c r="U198" t="s">
        <v>190</v>
      </c>
      <c r="V198">
        <v>682641</v>
      </c>
    </row>
    <row r="199" spans="1:22">
      <c r="A199">
        <v>5369</v>
      </c>
      <c r="B199" t="s">
        <v>2326</v>
      </c>
      <c r="C199">
        <v>5697</v>
      </c>
      <c r="D199" t="s">
        <v>2199</v>
      </c>
      <c r="E199" t="s">
        <v>2034</v>
      </c>
      <c r="F199">
        <v>202109</v>
      </c>
      <c r="G199" t="s">
        <v>180</v>
      </c>
      <c r="H199">
        <v>2196</v>
      </c>
      <c r="O199">
        <v>5369</v>
      </c>
      <c r="P199" t="s">
        <v>2326</v>
      </c>
      <c r="Q199">
        <v>5697</v>
      </c>
      <c r="R199" t="s">
        <v>2199</v>
      </c>
      <c r="S199" t="s">
        <v>2034</v>
      </c>
      <c r="T199">
        <v>202205</v>
      </c>
      <c r="U199" t="s">
        <v>191</v>
      </c>
      <c r="V199">
        <v>43902</v>
      </c>
    </row>
    <row r="200" spans="1:22">
      <c r="A200">
        <v>5369</v>
      </c>
      <c r="B200" t="s">
        <v>2326</v>
      </c>
      <c r="C200">
        <v>5697</v>
      </c>
      <c r="D200" t="s">
        <v>2199</v>
      </c>
      <c r="E200" t="s">
        <v>2034</v>
      </c>
      <c r="F200">
        <v>202109</v>
      </c>
      <c r="G200" t="s">
        <v>182</v>
      </c>
      <c r="H200">
        <v>1123871</v>
      </c>
      <c r="O200">
        <v>5369</v>
      </c>
      <c r="P200" t="s">
        <v>2326</v>
      </c>
      <c r="Q200">
        <v>5697</v>
      </c>
      <c r="R200" t="s">
        <v>2199</v>
      </c>
      <c r="S200" t="s">
        <v>2034</v>
      </c>
      <c r="T200">
        <v>202205</v>
      </c>
      <c r="U200" t="s">
        <v>178</v>
      </c>
      <c r="V200">
        <v>2409</v>
      </c>
    </row>
    <row r="201" spans="1:22">
      <c r="A201">
        <v>5369</v>
      </c>
      <c r="B201" t="s">
        <v>2326</v>
      </c>
      <c r="C201">
        <v>5697</v>
      </c>
      <c r="D201" t="s">
        <v>2199</v>
      </c>
      <c r="E201" t="s">
        <v>2034</v>
      </c>
      <c r="F201">
        <v>202109</v>
      </c>
      <c r="G201" t="s">
        <v>184</v>
      </c>
      <c r="H201">
        <v>112003</v>
      </c>
      <c r="O201">
        <v>5369</v>
      </c>
      <c r="P201" t="s">
        <v>2326</v>
      </c>
      <c r="Q201">
        <v>5697</v>
      </c>
      <c r="R201" t="s">
        <v>2199</v>
      </c>
      <c r="S201" t="s">
        <v>2034</v>
      </c>
      <c r="T201">
        <v>202205</v>
      </c>
      <c r="U201" t="s">
        <v>180</v>
      </c>
      <c r="V201">
        <v>1550</v>
      </c>
    </row>
    <row r="202" spans="1:22">
      <c r="A202">
        <v>5369</v>
      </c>
      <c r="B202" t="s">
        <v>2326</v>
      </c>
      <c r="C202">
        <v>5697</v>
      </c>
      <c r="D202" t="s">
        <v>2199</v>
      </c>
      <c r="E202" t="s">
        <v>2034</v>
      </c>
      <c r="F202">
        <v>202109</v>
      </c>
      <c r="G202" t="s">
        <v>192</v>
      </c>
      <c r="H202">
        <v>0</v>
      </c>
      <c r="O202">
        <v>5369</v>
      </c>
      <c r="P202" t="s">
        <v>2326</v>
      </c>
      <c r="Q202">
        <v>5697</v>
      </c>
      <c r="R202" t="s">
        <v>2199</v>
      </c>
      <c r="S202" t="s">
        <v>2034</v>
      </c>
      <c r="T202">
        <v>202205</v>
      </c>
      <c r="U202" t="s">
        <v>182</v>
      </c>
      <c r="V202">
        <v>682641</v>
      </c>
    </row>
    <row r="203" spans="1:22">
      <c r="A203">
        <v>5369</v>
      </c>
      <c r="B203" t="s">
        <v>2326</v>
      </c>
      <c r="C203">
        <v>5697</v>
      </c>
      <c r="D203" t="s">
        <v>2199</v>
      </c>
      <c r="E203" t="s">
        <v>2034</v>
      </c>
      <c r="F203">
        <v>202109</v>
      </c>
      <c r="G203" t="s">
        <v>2168</v>
      </c>
      <c r="H203">
        <v>719.52</v>
      </c>
      <c r="O203">
        <v>5369</v>
      </c>
      <c r="P203" t="s">
        <v>2326</v>
      </c>
      <c r="Q203">
        <v>5697</v>
      </c>
      <c r="R203" t="s">
        <v>2199</v>
      </c>
      <c r="S203" t="s">
        <v>2034</v>
      </c>
      <c r="T203">
        <v>202205</v>
      </c>
      <c r="U203" t="s">
        <v>184</v>
      </c>
      <c r="V203">
        <v>43902</v>
      </c>
    </row>
    <row r="204" spans="1:22">
      <c r="A204">
        <v>5369</v>
      </c>
      <c r="B204" t="s">
        <v>2326</v>
      </c>
      <c r="C204">
        <v>5697</v>
      </c>
      <c r="D204" t="s">
        <v>2199</v>
      </c>
      <c r="E204" t="s">
        <v>2034</v>
      </c>
      <c r="F204">
        <v>202109</v>
      </c>
      <c r="G204" t="s">
        <v>186</v>
      </c>
      <c r="H204">
        <v>0</v>
      </c>
      <c r="O204">
        <v>5369</v>
      </c>
      <c r="P204" t="s">
        <v>2326</v>
      </c>
      <c r="Q204">
        <v>5697</v>
      </c>
      <c r="R204" t="s">
        <v>2199</v>
      </c>
      <c r="S204" t="s">
        <v>2034</v>
      </c>
      <c r="T204">
        <v>202205</v>
      </c>
      <c r="U204" t="s">
        <v>186</v>
      </c>
      <c r="V204">
        <v>0</v>
      </c>
    </row>
    <row r="205" spans="1:22">
      <c r="A205">
        <v>5369</v>
      </c>
      <c r="B205" t="s">
        <v>2326</v>
      </c>
      <c r="C205">
        <v>5697</v>
      </c>
      <c r="D205" t="s">
        <v>2199</v>
      </c>
      <c r="E205" t="s">
        <v>2034</v>
      </c>
      <c r="F205">
        <v>202109</v>
      </c>
      <c r="G205" t="s">
        <v>2167</v>
      </c>
      <c r="H205">
        <v>50.99</v>
      </c>
      <c r="O205">
        <v>5369</v>
      </c>
      <c r="P205" t="s">
        <v>2326</v>
      </c>
      <c r="Q205">
        <v>5697</v>
      </c>
      <c r="R205" t="s">
        <v>2199</v>
      </c>
      <c r="S205" t="s">
        <v>2034</v>
      </c>
      <c r="T205">
        <v>202205</v>
      </c>
      <c r="U205" t="s">
        <v>190</v>
      </c>
      <c r="V205">
        <v>1983236</v>
      </c>
    </row>
    <row r="206" spans="1:22">
      <c r="A206">
        <v>5369</v>
      </c>
      <c r="B206" t="s">
        <v>2326</v>
      </c>
      <c r="C206">
        <v>5697</v>
      </c>
      <c r="D206" t="s">
        <v>2199</v>
      </c>
      <c r="E206" t="s">
        <v>2034</v>
      </c>
      <c r="F206">
        <v>202109</v>
      </c>
      <c r="G206" t="s">
        <v>2164</v>
      </c>
      <c r="H206">
        <v>12.33</v>
      </c>
      <c r="O206">
        <v>5369</v>
      </c>
      <c r="P206" t="s">
        <v>2326</v>
      </c>
      <c r="Q206">
        <v>5697</v>
      </c>
      <c r="R206" t="s">
        <v>2199</v>
      </c>
      <c r="S206" t="s">
        <v>2034</v>
      </c>
      <c r="T206">
        <v>202205</v>
      </c>
      <c r="U206" t="s">
        <v>191</v>
      </c>
      <c r="V206">
        <v>114812</v>
      </c>
    </row>
    <row r="207" spans="1:22">
      <c r="A207">
        <v>5369</v>
      </c>
      <c r="B207" t="s">
        <v>2326</v>
      </c>
      <c r="C207">
        <v>5697</v>
      </c>
      <c r="D207" t="s">
        <v>2199</v>
      </c>
      <c r="E207" t="s">
        <v>2034</v>
      </c>
      <c r="F207">
        <v>202109</v>
      </c>
      <c r="G207" t="s">
        <v>2165</v>
      </c>
      <c r="H207">
        <v>23.94</v>
      </c>
      <c r="O207">
        <v>5369</v>
      </c>
      <c r="P207" t="s">
        <v>2326</v>
      </c>
      <c r="Q207">
        <v>5697</v>
      </c>
      <c r="R207" t="s">
        <v>2199</v>
      </c>
      <c r="S207" t="s">
        <v>2034</v>
      </c>
      <c r="T207">
        <v>202205</v>
      </c>
      <c r="U207" t="s">
        <v>178</v>
      </c>
      <c r="V207">
        <v>6400</v>
      </c>
    </row>
    <row r="208" spans="1:22">
      <c r="A208">
        <v>5369</v>
      </c>
      <c r="B208" t="s">
        <v>2326</v>
      </c>
      <c r="C208">
        <v>5697</v>
      </c>
      <c r="D208" t="s">
        <v>2199</v>
      </c>
      <c r="E208" t="s">
        <v>2034</v>
      </c>
      <c r="F208">
        <v>202109</v>
      </c>
      <c r="G208" t="s">
        <v>2166</v>
      </c>
      <c r="H208">
        <v>10.17</v>
      </c>
      <c r="O208">
        <v>5369</v>
      </c>
      <c r="P208" t="s">
        <v>2326</v>
      </c>
      <c r="Q208">
        <v>5697</v>
      </c>
      <c r="R208" t="s">
        <v>2199</v>
      </c>
      <c r="S208" t="s">
        <v>2034</v>
      </c>
      <c r="T208">
        <v>202205</v>
      </c>
      <c r="U208" t="s">
        <v>180</v>
      </c>
      <c r="V208">
        <v>4000</v>
      </c>
    </row>
    <row r="209" spans="1:22">
      <c r="A209">
        <v>5369</v>
      </c>
      <c r="B209" t="s">
        <v>2326</v>
      </c>
      <c r="C209">
        <v>5697</v>
      </c>
      <c r="D209" t="s">
        <v>2199</v>
      </c>
      <c r="E209" t="s">
        <v>2034</v>
      </c>
      <c r="F209">
        <v>202109</v>
      </c>
      <c r="G209" t="s">
        <v>2169</v>
      </c>
      <c r="H209">
        <v>179877.4</v>
      </c>
      <c r="O209">
        <v>5369</v>
      </c>
      <c r="P209" t="s">
        <v>2326</v>
      </c>
      <c r="Q209">
        <v>5697</v>
      </c>
      <c r="R209" t="s">
        <v>2199</v>
      </c>
      <c r="S209" t="s">
        <v>2034</v>
      </c>
      <c r="T209">
        <v>202205</v>
      </c>
      <c r="U209" t="s">
        <v>182</v>
      </c>
      <c r="V209">
        <v>2038663</v>
      </c>
    </row>
    <row r="210" spans="1:22">
      <c r="A210">
        <v>5369</v>
      </c>
      <c r="B210" t="s">
        <v>2326</v>
      </c>
      <c r="C210">
        <v>5697</v>
      </c>
      <c r="D210" t="s">
        <v>2199</v>
      </c>
      <c r="E210" t="s">
        <v>2034</v>
      </c>
      <c r="F210">
        <v>202109</v>
      </c>
      <c r="G210" t="s">
        <v>190</v>
      </c>
      <c r="H210">
        <v>2188530</v>
      </c>
      <c r="O210">
        <v>5369</v>
      </c>
      <c r="P210" t="s">
        <v>2326</v>
      </c>
      <c r="Q210">
        <v>5697</v>
      </c>
      <c r="R210" t="s">
        <v>2199</v>
      </c>
      <c r="S210" t="s">
        <v>2034</v>
      </c>
      <c r="T210">
        <v>202205</v>
      </c>
      <c r="U210" t="s">
        <v>184</v>
      </c>
      <c r="V210">
        <v>114812</v>
      </c>
    </row>
    <row r="211" spans="1:22">
      <c r="A211">
        <v>5369</v>
      </c>
      <c r="B211" t="s">
        <v>2326</v>
      </c>
      <c r="C211">
        <v>5697</v>
      </c>
      <c r="D211" t="s">
        <v>2199</v>
      </c>
      <c r="E211" t="s">
        <v>2034</v>
      </c>
      <c r="F211">
        <v>202109</v>
      </c>
      <c r="G211" t="s">
        <v>191</v>
      </c>
      <c r="H211">
        <v>133857</v>
      </c>
      <c r="O211">
        <v>5369</v>
      </c>
      <c r="P211" t="s">
        <v>2326</v>
      </c>
      <c r="Q211">
        <v>5697</v>
      </c>
      <c r="R211" t="s">
        <v>2199</v>
      </c>
      <c r="S211" t="s">
        <v>2034</v>
      </c>
      <c r="T211">
        <v>202205</v>
      </c>
      <c r="U211" t="s">
        <v>186</v>
      </c>
      <c r="V211">
        <v>55427</v>
      </c>
    </row>
    <row r="212" spans="1:22">
      <c r="A212">
        <v>5369</v>
      </c>
      <c r="B212" t="s">
        <v>2326</v>
      </c>
      <c r="C212">
        <v>5697</v>
      </c>
      <c r="D212" t="s">
        <v>2199</v>
      </c>
      <c r="E212" t="s">
        <v>2034</v>
      </c>
      <c r="F212">
        <v>202109</v>
      </c>
      <c r="G212" t="s">
        <v>176</v>
      </c>
      <c r="H212">
        <v>0</v>
      </c>
      <c r="O212">
        <v>5369</v>
      </c>
      <c r="P212" t="s">
        <v>2326</v>
      </c>
      <c r="Q212">
        <v>5697</v>
      </c>
      <c r="R212" t="s">
        <v>2199</v>
      </c>
      <c r="S212" t="s">
        <v>2034</v>
      </c>
      <c r="T212">
        <v>202206</v>
      </c>
      <c r="U212" t="s">
        <v>190</v>
      </c>
      <c r="V212">
        <v>2110311</v>
      </c>
    </row>
    <row r="213" spans="1:22">
      <c r="A213">
        <v>5369</v>
      </c>
      <c r="B213" t="s">
        <v>2326</v>
      </c>
      <c r="C213">
        <v>5697</v>
      </c>
      <c r="D213" t="s">
        <v>2199</v>
      </c>
      <c r="E213" t="s">
        <v>2034</v>
      </c>
      <c r="F213">
        <v>202109</v>
      </c>
      <c r="G213" t="s">
        <v>178</v>
      </c>
      <c r="H213">
        <v>6935</v>
      </c>
      <c r="O213">
        <v>5369</v>
      </c>
      <c r="P213" t="s">
        <v>2326</v>
      </c>
      <c r="Q213">
        <v>5697</v>
      </c>
      <c r="R213" t="s">
        <v>2199</v>
      </c>
      <c r="S213" t="s">
        <v>2034</v>
      </c>
      <c r="T213">
        <v>202206</v>
      </c>
      <c r="U213" t="s">
        <v>191</v>
      </c>
      <c r="V213">
        <v>135270</v>
      </c>
    </row>
    <row r="214" spans="1:22">
      <c r="A214">
        <v>5369</v>
      </c>
      <c r="B214" t="s">
        <v>2326</v>
      </c>
      <c r="C214">
        <v>5697</v>
      </c>
      <c r="D214" t="s">
        <v>2199</v>
      </c>
      <c r="E214" t="s">
        <v>2034</v>
      </c>
      <c r="F214">
        <v>202109</v>
      </c>
      <c r="G214" t="s">
        <v>180</v>
      </c>
      <c r="H214">
        <v>4000</v>
      </c>
      <c r="O214">
        <v>5369</v>
      </c>
      <c r="P214" t="s">
        <v>2326</v>
      </c>
      <c r="Q214">
        <v>5697</v>
      </c>
      <c r="R214" t="s">
        <v>2199</v>
      </c>
      <c r="S214" t="s">
        <v>2034</v>
      </c>
      <c r="T214">
        <v>202206</v>
      </c>
      <c r="U214" t="s">
        <v>178</v>
      </c>
      <c r="V214">
        <v>7177</v>
      </c>
    </row>
    <row r="215" spans="1:22">
      <c r="A215">
        <v>5369</v>
      </c>
      <c r="B215" t="s">
        <v>2326</v>
      </c>
      <c r="C215">
        <v>5697</v>
      </c>
      <c r="D215" t="s">
        <v>2199</v>
      </c>
      <c r="E215" t="s">
        <v>2034</v>
      </c>
      <c r="F215">
        <v>202109</v>
      </c>
      <c r="G215" t="s">
        <v>182</v>
      </c>
      <c r="H215">
        <v>2257765</v>
      </c>
      <c r="O215">
        <v>5369</v>
      </c>
      <c r="P215" t="s">
        <v>2326</v>
      </c>
      <c r="Q215">
        <v>5697</v>
      </c>
      <c r="R215" t="s">
        <v>2199</v>
      </c>
      <c r="S215" t="s">
        <v>2034</v>
      </c>
      <c r="T215">
        <v>202206</v>
      </c>
      <c r="U215" t="s">
        <v>180</v>
      </c>
      <c r="V215">
        <v>4000</v>
      </c>
    </row>
    <row r="216" spans="1:22">
      <c r="A216">
        <v>5369</v>
      </c>
      <c r="B216" t="s">
        <v>2326</v>
      </c>
      <c r="C216">
        <v>5697</v>
      </c>
      <c r="D216" t="s">
        <v>2199</v>
      </c>
      <c r="E216" t="s">
        <v>2034</v>
      </c>
      <c r="F216">
        <v>202109</v>
      </c>
      <c r="G216" t="s">
        <v>184</v>
      </c>
      <c r="H216">
        <v>133857</v>
      </c>
      <c r="O216">
        <v>5369</v>
      </c>
      <c r="P216" t="s">
        <v>2326</v>
      </c>
      <c r="Q216">
        <v>5697</v>
      </c>
      <c r="R216" t="s">
        <v>2199</v>
      </c>
      <c r="S216" t="s">
        <v>2034</v>
      </c>
      <c r="T216">
        <v>202206</v>
      </c>
      <c r="U216" t="s">
        <v>182</v>
      </c>
      <c r="V216">
        <v>2173184</v>
      </c>
    </row>
    <row r="217" spans="1:22">
      <c r="A217">
        <v>5369</v>
      </c>
      <c r="B217" t="s">
        <v>2326</v>
      </c>
      <c r="C217">
        <v>5697</v>
      </c>
      <c r="D217" t="s">
        <v>2199</v>
      </c>
      <c r="E217" t="s">
        <v>2034</v>
      </c>
      <c r="F217">
        <v>202109</v>
      </c>
      <c r="G217" t="s">
        <v>192</v>
      </c>
      <c r="H217">
        <v>0</v>
      </c>
      <c r="O217">
        <v>5369</v>
      </c>
      <c r="P217" t="s">
        <v>2326</v>
      </c>
      <c r="Q217">
        <v>5697</v>
      </c>
      <c r="R217" t="s">
        <v>2199</v>
      </c>
      <c r="S217" t="s">
        <v>2034</v>
      </c>
      <c r="T217">
        <v>202206</v>
      </c>
      <c r="U217" t="s">
        <v>184</v>
      </c>
      <c r="V217">
        <v>135270</v>
      </c>
    </row>
    <row r="218" spans="1:22">
      <c r="A218">
        <v>5369</v>
      </c>
      <c r="B218" t="s">
        <v>2326</v>
      </c>
      <c r="C218">
        <v>5697</v>
      </c>
      <c r="D218" t="s">
        <v>2199</v>
      </c>
      <c r="E218" t="s">
        <v>2034</v>
      </c>
      <c r="F218">
        <v>202109</v>
      </c>
      <c r="G218" t="s">
        <v>2168</v>
      </c>
      <c r="H218">
        <v>1301.26</v>
      </c>
      <c r="O218">
        <v>5369</v>
      </c>
      <c r="P218" t="s">
        <v>2326</v>
      </c>
      <c r="Q218">
        <v>5697</v>
      </c>
      <c r="R218" t="s">
        <v>2199</v>
      </c>
      <c r="S218" t="s">
        <v>2034</v>
      </c>
      <c r="T218">
        <v>202206</v>
      </c>
      <c r="U218" t="s">
        <v>186</v>
      </c>
      <c r="V218">
        <v>62873</v>
      </c>
    </row>
    <row r="219" spans="1:22">
      <c r="A219">
        <v>5369</v>
      </c>
      <c r="B219" t="s">
        <v>2326</v>
      </c>
      <c r="C219">
        <v>5697</v>
      </c>
      <c r="D219" t="s">
        <v>2199</v>
      </c>
      <c r="E219" t="s">
        <v>2034</v>
      </c>
      <c r="F219">
        <v>202109</v>
      </c>
      <c r="G219" t="s">
        <v>186</v>
      </c>
      <c r="H219">
        <v>69235</v>
      </c>
      <c r="O219">
        <v>5369</v>
      </c>
      <c r="P219" t="s">
        <v>2326</v>
      </c>
      <c r="Q219">
        <v>5697</v>
      </c>
      <c r="R219" t="s">
        <v>2199</v>
      </c>
      <c r="S219" t="s">
        <v>2034</v>
      </c>
      <c r="T219">
        <v>202206</v>
      </c>
      <c r="U219" t="s">
        <v>190</v>
      </c>
      <c r="V219">
        <v>1047697</v>
      </c>
    </row>
    <row r="220" spans="1:22">
      <c r="A220">
        <v>5369</v>
      </c>
      <c r="B220" t="s">
        <v>2326</v>
      </c>
      <c r="C220">
        <v>5697</v>
      </c>
      <c r="D220" t="s">
        <v>2199</v>
      </c>
      <c r="E220" t="s">
        <v>2034</v>
      </c>
      <c r="F220">
        <v>202109</v>
      </c>
      <c r="G220" t="s">
        <v>2167</v>
      </c>
      <c r="H220">
        <v>50.99</v>
      </c>
      <c r="O220">
        <v>5369</v>
      </c>
      <c r="P220" t="s">
        <v>2326</v>
      </c>
      <c r="Q220">
        <v>5697</v>
      </c>
      <c r="R220" t="s">
        <v>2199</v>
      </c>
      <c r="S220" t="s">
        <v>2034</v>
      </c>
      <c r="T220">
        <v>202206</v>
      </c>
      <c r="U220" t="s">
        <v>191</v>
      </c>
      <c r="V220">
        <v>103268</v>
      </c>
    </row>
    <row r="221" spans="1:22">
      <c r="A221">
        <v>5369</v>
      </c>
      <c r="B221" t="s">
        <v>2326</v>
      </c>
      <c r="C221">
        <v>5697</v>
      </c>
      <c r="D221" t="s">
        <v>2199</v>
      </c>
      <c r="E221" t="s">
        <v>2034</v>
      </c>
      <c r="F221">
        <v>202109</v>
      </c>
      <c r="G221" t="s">
        <v>2164</v>
      </c>
      <c r="H221">
        <v>12.33</v>
      </c>
      <c r="O221">
        <v>5369</v>
      </c>
      <c r="P221" t="s">
        <v>2326</v>
      </c>
      <c r="Q221">
        <v>5697</v>
      </c>
      <c r="R221" t="s">
        <v>2199</v>
      </c>
      <c r="S221" t="s">
        <v>2034</v>
      </c>
      <c r="T221">
        <v>202206</v>
      </c>
      <c r="U221" t="s">
        <v>178</v>
      </c>
      <c r="V221">
        <v>2856</v>
      </c>
    </row>
    <row r="222" spans="1:22">
      <c r="A222">
        <v>5369</v>
      </c>
      <c r="B222" t="s">
        <v>2326</v>
      </c>
      <c r="C222">
        <v>5697</v>
      </c>
      <c r="D222" t="s">
        <v>2199</v>
      </c>
      <c r="E222" t="s">
        <v>2034</v>
      </c>
      <c r="F222">
        <v>202109</v>
      </c>
      <c r="G222" t="s">
        <v>2165</v>
      </c>
      <c r="H222">
        <v>23.94</v>
      </c>
      <c r="O222">
        <v>5369</v>
      </c>
      <c r="P222" t="s">
        <v>2326</v>
      </c>
      <c r="Q222">
        <v>5697</v>
      </c>
      <c r="R222" t="s">
        <v>2199</v>
      </c>
      <c r="S222" t="s">
        <v>2034</v>
      </c>
      <c r="T222">
        <v>202206</v>
      </c>
      <c r="U222" t="s">
        <v>180</v>
      </c>
      <c r="V222">
        <v>2250</v>
      </c>
    </row>
    <row r="223" spans="1:22">
      <c r="A223">
        <v>5369</v>
      </c>
      <c r="B223" t="s">
        <v>2326</v>
      </c>
      <c r="C223">
        <v>5697</v>
      </c>
      <c r="D223" t="s">
        <v>2199</v>
      </c>
      <c r="E223" t="s">
        <v>2034</v>
      </c>
      <c r="F223">
        <v>202109</v>
      </c>
      <c r="G223" t="s">
        <v>2166</v>
      </c>
      <c r="H223">
        <v>10.17</v>
      </c>
      <c r="O223">
        <v>5369</v>
      </c>
      <c r="P223" t="s">
        <v>2326</v>
      </c>
      <c r="Q223">
        <v>5697</v>
      </c>
      <c r="R223" t="s">
        <v>2199</v>
      </c>
      <c r="S223" t="s">
        <v>2034</v>
      </c>
      <c r="T223">
        <v>202206</v>
      </c>
      <c r="U223" t="s">
        <v>182</v>
      </c>
      <c r="V223">
        <v>1047697</v>
      </c>
    </row>
    <row r="224" spans="1:22">
      <c r="A224">
        <v>5369</v>
      </c>
      <c r="B224" t="s">
        <v>2326</v>
      </c>
      <c r="C224">
        <v>5697</v>
      </c>
      <c r="D224" t="s">
        <v>2199</v>
      </c>
      <c r="E224" t="s">
        <v>2034</v>
      </c>
      <c r="F224">
        <v>202109</v>
      </c>
      <c r="G224" t="s">
        <v>2169</v>
      </c>
      <c r="H224">
        <v>325311.59000000003</v>
      </c>
      <c r="O224">
        <v>5369</v>
      </c>
      <c r="P224" t="s">
        <v>2326</v>
      </c>
      <c r="Q224">
        <v>5697</v>
      </c>
      <c r="R224" t="s">
        <v>2199</v>
      </c>
      <c r="S224" t="s">
        <v>2034</v>
      </c>
      <c r="T224">
        <v>202206</v>
      </c>
      <c r="U224" t="s">
        <v>184</v>
      </c>
      <c r="V224">
        <v>103268</v>
      </c>
    </row>
    <row r="225" spans="1:22">
      <c r="A225">
        <v>5369</v>
      </c>
      <c r="B225" t="s">
        <v>2326</v>
      </c>
      <c r="C225">
        <v>5697</v>
      </c>
      <c r="D225" t="s">
        <v>2199</v>
      </c>
      <c r="E225" t="s">
        <v>2034</v>
      </c>
      <c r="F225">
        <v>202110</v>
      </c>
      <c r="G225" t="s">
        <v>190</v>
      </c>
      <c r="H225">
        <v>710835</v>
      </c>
      <c r="O225">
        <v>5369</v>
      </c>
      <c r="P225" t="s">
        <v>2326</v>
      </c>
      <c r="Q225">
        <v>5697</v>
      </c>
      <c r="R225" t="s">
        <v>2199</v>
      </c>
      <c r="S225" t="s">
        <v>2034</v>
      </c>
      <c r="T225">
        <v>202206</v>
      </c>
      <c r="U225" t="s">
        <v>186</v>
      </c>
      <c r="V225">
        <v>0</v>
      </c>
    </row>
    <row r="226" spans="1:22">
      <c r="A226">
        <v>5369</v>
      </c>
      <c r="B226" t="s">
        <v>2326</v>
      </c>
      <c r="C226">
        <v>5697</v>
      </c>
      <c r="D226" t="s">
        <v>2199</v>
      </c>
      <c r="E226" t="s">
        <v>2034</v>
      </c>
      <c r="F226">
        <v>202110</v>
      </c>
      <c r="G226" t="s">
        <v>191</v>
      </c>
      <c r="H226">
        <v>47693</v>
      </c>
      <c r="O226">
        <v>5369</v>
      </c>
      <c r="P226" t="s">
        <v>2326</v>
      </c>
      <c r="Q226">
        <v>5697</v>
      </c>
      <c r="R226" t="s">
        <v>2199</v>
      </c>
      <c r="S226" t="s">
        <v>2034</v>
      </c>
      <c r="T226">
        <v>202206</v>
      </c>
      <c r="U226" t="s">
        <v>190</v>
      </c>
      <c r="V226">
        <v>736488</v>
      </c>
    </row>
    <row r="227" spans="1:22">
      <c r="A227">
        <v>5369</v>
      </c>
      <c r="B227" t="s">
        <v>2326</v>
      </c>
      <c r="C227">
        <v>5697</v>
      </c>
      <c r="D227" t="s">
        <v>2199</v>
      </c>
      <c r="E227" t="s">
        <v>2034</v>
      </c>
      <c r="F227">
        <v>202110</v>
      </c>
      <c r="G227" t="s">
        <v>176</v>
      </c>
      <c r="H227">
        <v>0</v>
      </c>
      <c r="O227">
        <v>5369</v>
      </c>
      <c r="P227" t="s">
        <v>2326</v>
      </c>
      <c r="Q227">
        <v>5697</v>
      </c>
      <c r="R227" t="s">
        <v>2199</v>
      </c>
      <c r="S227" t="s">
        <v>2034</v>
      </c>
      <c r="T227">
        <v>202206</v>
      </c>
      <c r="U227" t="s">
        <v>191</v>
      </c>
      <c r="V227">
        <v>55781</v>
      </c>
    </row>
    <row r="228" spans="1:22">
      <c r="A228">
        <v>5369</v>
      </c>
      <c r="B228" t="s">
        <v>2326</v>
      </c>
      <c r="C228">
        <v>5697</v>
      </c>
      <c r="D228" t="s">
        <v>2199</v>
      </c>
      <c r="E228" t="s">
        <v>2034</v>
      </c>
      <c r="F228">
        <v>202110</v>
      </c>
      <c r="G228" t="s">
        <v>178</v>
      </c>
      <c r="H228">
        <v>2342</v>
      </c>
      <c r="O228">
        <v>5369</v>
      </c>
      <c r="P228" t="s">
        <v>2326</v>
      </c>
      <c r="Q228">
        <v>5697</v>
      </c>
      <c r="R228" t="s">
        <v>2199</v>
      </c>
      <c r="S228" t="s">
        <v>2034</v>
      </c>
      <c r="T228">
        <v>202206</v>
      </c>
      <c r="U228" t="s">
        <v>178</v>
      </c>
      <c r="V228">
        <v>2463</v>
      </c>
    </row>
    <row r="229" spans="1:22">
      <c r="A229">
        <v>5369</v>
      </c>
      <c r="B229" t="s">
        <v>2326</v>
      </c>
      <c r="C229">
        <v>5697</v>
      </c>
      <c r="D229" t="s">
        <v>2199</v>
      </c>
      <c r="E229" t="s">
        <v>2034</v>
      </c>
      <c r="F229">
        <v>202110</v>
      </c>
      <c r="G229" t="s">
        <v>180</v>
      </c>
      <c r="H229">
        <v>1550</v>
      </c>
      <c r="O229">
        <v>5369</v>
      </c>
      <c r="P229" t="s">
        <v>2326</v>
      </c>
      <c r="Q229">
        <v>5697</v>
      </c>
      <c r="R229" t="s">
        <v>2199</v>
      </c>
      <c r="S229" t="s">
        <v>2034</v>
      </c>
      <c r="T229">
        <v>202206</v>
      </c>
      <c r="U229" t="s">
        <v>180</v>
      </c>
      <c r="V229">
        <v>1550</v>
      </c>
    </row>
    <row r="230" spans="1:22">
      <c r="A230">
        <v>5369</v>
      </c>
      <c r="B230" t="s">
        <v>2326</v>
      </c>
      <c r="C230">
        <v>5697</v>
      </c>
      <c r="D230" t="s">
        <v>2199</v>
      </c>
      <c r="E230" t="s">
        <v>2034</v>
      </c>
      <c r="F230">
        <v>202110</v>
      </c>
      <c r="G230" t="s">
        <v>182</v>
      </c>
      <c r="H230">
        <v>710835</v>
      </c>
      <c r="O230">
        <v>5369</v>
      </c>
      <c r="P230" t="s">
        <v>2326</v>
      </c>
      <c r="Q230">
        <v>5697</v>
      </c>
      <c r="R230" t="s">
        <v>2199</v>
      </c>
      <c r="S230" t="s">
        <v>2034</v>
      </c>
      <c r="T230">
        <v>202206</v>
      </c>
      <c r="U230" t="s">
        <v>182</v>
      </c>
      <c r="V230">
        <v>736488</v>
      </c>
    </row>
    <row r="231" spans="1:22">
      <c r="A231">
        <v>5369</v>
      </c>
      <c r="B231" t="s">
        <v>2326</v>
      </c>
      <c r="C231">
        <v>5697</v>
      </c>
      <c r="D231" t="s">
        <v>2199</v>
      </c>
      <c r="E231" t="s">
        <v>2034</v>
      </c>
      <c r="F231">
        <v>202110</v>
      </c>
      <c r="G231" t="s">
        <v>184</v>
      </c>
      <c r="H231">
        <v>47693</v>
      </c>
      <c r="O231">
        <v>5369</v>
      </c>
      <c r="P231" t="s">
        <v>2326</v>
      </c>
      <c r="Q231">
        <v>5697</v>
      </c>
      <c r="R231" t="s">
        <v>2199</v>
      </c>
      <c r="S231" t="s">
        <v>2034</v>
      </c>
      <c r="T231">
        <v>202206</v>
      </c>
      <c r="U231" t="s">
        <v>184</v>
      </c>
      <c r="V231">
        <v>55781</v>
      </c>
    </row>
    <row r="232" spans="1:22">
      <c r="A232">
        <v>5369</v>
      </c>
      <c r="B232" t="s">
        <v>2326</v>
      </c>
      <c r="C232">
        <v>5697</v>
      </c>
      <c r="D232" t="s">
        <v>2199</v>
      </c>
      <c r="E232" t="s">
        <v>2034</v>
      </c>
      <c r="F232">
        <v>202110</v>
      </c>
      <c r="G232" t="s">
        <v>192</v>
      </c>
      <c r="H232">
        <v>0</v>
      </c>
      <c r="O232">
        <v>5369</v>
      </c>
      <c r="P232" t="s">
        <v>2326</v>
      </c>
      <c r="Q232">
        <v>5697</v>
      </c>
      <c r="R232" t="s">
        <v>2199</v>
      </c>
      <c r="S232" t="s">
        <v>2034</v>
      </c>
      <c r="T232">
        <v>202206</v>
      </c>
      <c r="U232" t="s">
        <v>186</v>
      </c>
      <c r="V232">
        <v>0</v>
      </c>
    </row>
    <row r="233" spans="1:22">
      <c r="A233">
        <v>5369</v>
      </c>
      <c r="B233" t="s">
        <v>2326</v>
      </c>
      <c r="C233">
        <v>5697</v>
      </c>
      <c r="D233" t="s">
        <v>2199</v>
      </c>
      <c r="E233" t="s">
        <v>2034</v>
      </c>
      <c r="F233">
        <v>202110</v>
      </c>
      <c r="G233" t="s">
        <v>2168</v>
      </c>
      <c r="H233">
        <v>4342.3900000000003</v>
      </c>
      <c r="O233">
        <v>5369</v>
      </c>
      <c r="P233" t="s">
        <v>2326</v>
      </c>
      <c r="Q233">
        <v>5697</v>
      </c>
      <c r="R233" t="s">
        <v>2199</v>
      </c>
      <c r="S233" t="s">
        <v>2034</v>
      </c>
      <c r="T233">
        <v>202208</v>
      </c>
      <c r="U233" t="s">
        <v>190</v>
      </c>
      <c r="V233">
        <v>1067754</v>
      </c>
    </row>
    <row r="234" spans="1:22">
      <c r="A234">
        <v>5369</v>
      </c>
      <c r="B234" t="s">
        <v>2326</v>
      </c>
      <c r="C234">
        <v>5697</v>
      </c>
      <c r="D234" t="s">
        <v>2199</v>
      </c>
      <c r="E234" t="s">
        <v>2034</v>
      </c>
      <c r="F234">
        <v>202110</v>
      </c>
      <c r="G234" t="s">
        <v>186</v>
      </c>
      <c r="H234">
        <v>0</v>
      </c>
      <c r="O234">
        <v>5369</v>
      </c>
      <c r="P234" t="s">
        <v>2326</v>
      </c>
      <c r="Q234">
        <v>5697</v>
      </c>
      <c r="R234" t="s">
        <v>2199</v>
      </c>
      <c r="S234" t="s">
        <v>2034</v>
      </c>
      <c r="T234">
        <v>202208</v>
      </c>
      <c r="U234" t="s">
        <v>191</v>
      </c>
      <c r="V234">
        <v>106296</v>
      </c>
    </row>
    <row r="235" spans="1:22">
      <c r="A235">
        <v>5369</v>
      </c>
      <c r="B235" t="s">
        <v>2326</v>
      </c>
      <c r="C235">
        <v>5697</v>
      </c>
      <c r="D235" t="s">
        <v>2199</v>
      </c>
      <c r="E235" t="s">
        <v>2034</v>
      </c>
      <c r="F235">
        <v>202110</v>
      </c>
      <c r="G235" t="s">
        <v>2167</v>
      </c>
      <c r="H235">
        <v>53.32</v>
      </c>
      <c r="O235">
        <v>5369</v>
      </c>
      <c r="P235" t="s">
        <v>2326</v>
      </c>
      <c r="Q235">
        <v>5697</v>
      </c>
      <c r="R235" t="s">
        <v>2199</v>
      </c>
      <c r="S235" t="s">
        <v>2034</v>
      </c>
      <c r="T235">
        <v>202208</v>
      </c>
      <c r="U235" t="s">
        <v>178</v>
      </c>
      <c r="V235">
        <v>2930</v>
      </c>
    </row>
    <row r="236" spans="1:22">
      <c r="A236">
        <v>5369</v>
      </c>
      <c r="B236" t="s">
        <v>2326</v>
      </c>
      <c r="C236">
        <v>5697</v>
      </c>
      <c r="D236" t="s">
        <v>2199</v>
      </c>
      <c r="E236" t="s">
        <v>2034</v>
      </c>
      <c r="F236">
        <v>202110</v>
      </c>
      <c r="G236" t="s">
        <v>2164</v>
      </c>
      <c r="H236">
        <v>12.31</v>
      </c>
      <c r="O236">
        <v>5369</v>
      </c>
      <c r="P236" t="s">
        <v>2326</v>
      </c>
      <c r="Q236">
        <v>5697</v>
      </c>
      <c r="R236" t="s">
        <v>2199</v>
      </c>
      <c r="S236" t="s">
        <v>2034</v>
      </c>
      <c r="T236">
        <v>202208</v>
      </c>
      <c r="U236" t="s">
        <v>180</v>
      </c>
      <c r="V236">
        <v>2250</v>
      </c>
    </row>
    <row r="237" spans="1:22">
      <c r="A237">
        <v>5369</v>
      </c>
      <c r="B237" t="s">
        <v>2326</v>
      </c>
      <c r="C237">
        <v>5697</v>
      </c>
      <c r="D237" t="s">
        <v>2199</v>
      </c>
      <c r="E237" t="s">
        <v>2034</v>
      </c>
      <c r="F237">
        <v>202110</v>
      </c>
      <c r="G237" t="s">
        <v>2165</v>
      </c>
      <c r="H237">
        <v>23.85</v>
      </c>
      <c r="O237">
        <v>5369</v>
      </c>
      <c r="P237" t="s">
        <v>2326</v>
      </c>
      <c r="Q237">
        <v>5697</v>
      </c>
      <c r="R237" t="s">
        <v>2199</v>
      </c>
      <c r="S237" t="s">
        <v>2034</v>
      </c>
      <c r="T237">
        <v>202208</v>
      </c>
      <c r="U237" t="s">
        <v>182</v>
      </c>
      <c r="V237">
        <v>1067754</v>
      </c>
    </row>
    <row r="238" spans="1:22">
      <c r="A238">
        <v>5369</v>
      </c>
      <c r="B238" t="s">
        <v>2326</v>
      </c>
      <c r="C238">
        <v>5697</v>
      </c>
      <c r="D238" t="s">
        <v>2199</v>
      </c>
      <c r="E238" t="s">
        <v>2034</v>
      </c>
      <c r="F238">
        <v>202110</v>
      </c>
      <c r="G238" t="s">
        <v>2166</v>
      </c>
      <c r="H238">
        <v>10.31</v>
      </c>
      <c r="O238">
        <v>5369</v>
      </c>
      <c r="P238" t="s">
        <v>2326</v>
      </c>
      <c r="Q238">
        <v>5697</v>
      </c>
      <c r="R238" t="s">
        <v>2199</v>
      </c>
      <c r="S238" t="s">
        <v>2034</v>
      </c>
      <c r="T238">
        <v>202208</v>
      </c>
      <c r="U238" t="s">
        <v>184</v>
      </c>
      <c r="V238">
        <v>106296</v>
      </c>
    </row>
    <row r="239" spans="1:22">
      <c r="A239">
        <v>5369</v>
      </c>
      <c r="B239" t="s">
        <v>2326</v>
      </c>
      <c r="C239">
        <v>5697</v>
      </c>
      <c r="D239" t="s">
        <v>2199</v>
      </c>
      <c r="E239" t="s">
        <v>2034</v>
      </c>
      <c r="F239">
        <v>202110</v>
      </c>
      <c r="G239" t="s">
        <v>2169</v>
      </c>
      <c r="H239">
        <v>165740.12</v>
      </c>
      <c r="O239">
        <v>5369</v>
      </c>
      <c r="P239" t="s">
        <v>2326</v>
      </c>
      <c r="Q239">
        <v>5697</v>
      </c>
      <c r="R239" t="s">
        <v>2199</v>
      </c>
      <c r="S239" t="s">
        <v>2034</v>
      </c>
      <c r="T239">
        <v>202208</v>
      </c>
      <c r="U239" t="s">
        <v>186</v>
      </c>
      <c r="V239">
        <v>0</v>
      </c>
    </row>
    <row r="240" spans="1:22">
      <c r="A240">
        <v>5369</v>
      </c>
      <c r="B240" t="s">
        <v>2326</v>
      </c>
      <c r="C240">
        <v>5697</v>
      </c>
      <c r="D240" t="s">
        <v>2199</v>
      </c>
      <c r="E240" t="s">
        <v>2034</v>
      </c>
      <c r="F240">
        <v>202110</v>
      </c>
      <c r="G240" t="s">
        <v>190</v>
      </c>
      <c r="H240">
        <v>1072066</v>
      </c>
      <c r="O240">
        <v>5369</v>
      </c>
      <c r="P240" t="s">
        <v>2326</v>
      </c>
      <c r="Q240">
        <v>5697</v>
      </c>
      <c r="R240" t="s">
        <v>2199</v>
      </c>
      <c r="S240" t="s">
        <v>2034</v>
      </c>
      <c r="T240">
        <v>202208</v>
      </c>
      <c r="U240" t="s">
        <v>190</v>
      </c>
      <c r="V240">
        <v>1839634</v>
      </c>
    </row>
    <row r="241" spans="1:22">
      <c r="A241">
        <v>5369</v>
      </c>
      <c r="B241" t="s">
        <v>2326</v>
      </c>
      <c r="C241">
        <v>5697</v>
      </c>
      <c r="D241" t="s">
        <v>2199</v>
      </c>
      <c r="E241" t="s">
        <v>2034</v>
      </c>
      <c r="F241">
        <v>202110</v>
      </c>
      <c r="G241" t="s">
        <v>191</v>
      </c>
      <c r="H241">
        <v>103500</v>
      </c>
      <c r="O241">
        <v>5369</v>
      </c>
      <c r="P241" t="s">
        <v>2326</v>
      </c>
      <c r="Q241">
        <v>5697</v>
      </c>
      <c r="R241" t="s">
        <v>2199</v>
      </c>
      <c r="S241" t="s">
        <v>2034</v>
      </c>
      <c r="T241">
        <v>202208</v>
      </c>
      <c r="U241" t="s">
        <v>191</v>
      </c>
      <c r="V241">
        <v>123073</v>
      </c>
    </row>
    <row r="242" spans="1:22">
      <c r="A242">
        <v>5369</v>
      </c>
      <c r="B242" t="s">
        <v>2326</v>
      </c>
      <c r="C242">
        <v>5697</v>
      </c>
      <c r="D242" t="s">
        <v>2199</v>
      </c>
      <c r="E242" t="s">
        <v>2034</v>
      </c>
      <c r="F242">
        <v>202110</v>
      </c>
      <c r="G242" t="s">
        <v>176</v>
      </c>
      <c r="H242">
        <v>0</v>
      </c>
      <c r="O242">
        <v>5369</v>
      </c>
      <c r="P242" t="s">
        <v>2326</v>
      </c>
      <c r="Q242">
        <v>5697</v>
      </c>
      <c r="R242" t="s">
        <v>2199</v>
      </c>
      <c r="S242" t="s">
        <v>2034</v>
      </c>
      <c r="T242">
        <v>202208</v>
      </c>
      <c r="U242" t="s">
        <v>178</v>
      </c>
      <c r="V242">
        <v>6400</v>
      </c>
    </row>
    <row r="243" spans="1:22">
      <c r="A243">
        <v>5369</v>
      </c>
      <c r="B243" t="s">
        <v>2326</v>
      </c>
      <c r="C243">
        <v>5697</v>
      </c>
      <c r="D243" t="s">
        <v>2199</v>
      </c>
      <c r="E243" t="s">
        <v>2034</v>
      </c>
      <c r="F243">
        <v>202110</v>
      </c>
      <c r="G243" t="s">
        <v>178</v>
      </c>
      <c r="H243">
        <v>3098</v>
      </c>
      <c r="O243">
        <v>5369</v>
      </c>
      <c r="P243" t="s">
        <v>2326</v>
      </c>
      <c r="Q243">
        <v>5697</v>
      </c>
      <c r="R243" t="s">
        <v>2199</v>
      </c>
      <c r="S243" t="s">
        <v>2034</v>
      </c>
      <c r="T243">
        <v>202208</v>
      </c>
      <c r="U243" t="s">
        <v>180</v>
      </c>
      <c r="V243">
        <v>4000</v>
      </c>
    </row>
    <row r="244" spans="1:22">
      <c r="A244">
        <v>5369</v>
      </c>
      <c r="B244" t="s">
        <v>2326</v>
      </c>
      <c r="C244">
        <v>5697</v>
      </c>
      <c r="D244" t="s">
        <v>2199</v>
      </c>
      <c r="E244" t="s">
        <v>2034</v>
      </c>
      <c r="F244">
        <v>202110</v>
      </c>
      <c r="G244" t="s">
        <v>180</v>
      </c>
      <c r="H244">
        <v>2250</v>
      </c>
      <c r="O244">
        <v>5369</v>
      </c>
      <c r="P244" t="s">
        <v>2326</v>
      </c>
      <c r="Q244">
        <v>5697</v>
      </c>
      <c r="R244" t="s">
        <v>2199</v>
      </c>
      <c r="S244" t="s">
        <v>2034</v>
      </c>
      <c r="T244">
        <v>202208</v>
      </c>
      <c r="U244" t="s">
        <v>182</v>
      </c>
      <c r="V244">
        <v>1904733</v>
      </c>
    </row>
    <row r="245" spans="1:22">
      <c r="A245">
        <v>5369</v>
      </c>
      <c r="B245" t="s">
        <v>2326</v>
      </c>
      <c r="C245">
        <v>5697</v>
      </c>
      <c r="D245" t="s">
        <v>2199</v>
      </c>
      <c r="E245" t="s">
        <v>2034</v>
      </c>
      <c r="F245">
        <v>202110</v>
      </c>
      <c r="G245" t="s">
        <v>182</v>
      </c>
      <c r="H245">
        <v>1072066</v>
      </c>
      <c r="O245">
        <v>5369</v>
      </c>
      <c r="P245" t="s">
        <v>2326</v>
      </c>
      <c r="Q245">
        <v>5697</v>
      </c>
      <c r="R245" t="s">
        <v>2199</v>
      </c>
      <c r="S245" t="s">
        <v>2034</v>
      </c>
      <c r="T245">
        <v>202208</v>
      </c>
      <c r="U245" t="s">
        <v>184</v>
      </c>
      <c r="V245">
        <v>123073</v>
      </c>
    </row>
    <row r="246" spans="1:22">
      <c r="A246">
        <v>5369</v>
      </c>
      <c r="B246" t="s">
        <v>2326</v>
      </c>
      <c r="C246">
        <v>5697</v>
      </c>
      <c r="D246" t="s">
        <v>2199</v>
      </c>
      <c r="E246" t="s">
        <v>2034</v>
      </c>
      <c r="F246">
        <v>202110</v>
      </c>
      <c r="G246" t="s">
        <v>184</v>
      </c>
      <c r="H246">
        <v>103500</v>
      </c>
      <c r="O246">
        <v>5369</v>
      </c>
      <c r="P246" t="s">
        <v>2326</v>
      </c>
      <c r="Q246">
        <v>5697</v>
      </c>
      <c r="R246" t="s">
        <v>2199</v>
      </c>
      <c r="S246" t="s">
        <v>2034</v>
      </c>
      <c r="T246">
        <v>202208</v>
      </c>
      <c r="U246" t="s">
        <v>186</v>
      </c>
      <c r="V246">
        <v>65099</v>
      </c>
    </row>
    <row r="247" spans="1:22">
      <c r="A247">
        <v>5369</v>
      </c>
      <c r="B247" t="s">
        <v>2326</v>
      </c>
      <c r="C247">
        <v>5697</v>
      </c>
      <c r="D247" t="s">
        <v>2199</v>
      </c>
      <c r="E247" t="s">
        <v>2034</v>
      </c>
      <c r="F247">
        <v>202110</v>
      </c>
      <c r="G247" t="s">
        <v>192</v>
      </c>
      <c r="H247">
        <v>0</v>
      </c>
      <c r="O247">
        <v>5369</v>
      </c>
      <c r="P247" t="s">
        <v>2326</v>
      </c>
      <c r="Q247">
        <v>5697</v>
      </c>
      <c r="R247" t="s">
        <v>2199</v>
      </c>
      <c r="S247" t="s">
        <v>2034</v>
      </c>
      <c r="T247">
        <v>202208</v>
      </c>
      <c r="U247" t="s">
        <v>190</v>
      </c>
      <c r="V247">
        <v>743953</v>
      </c>
    </row>
    <row r="248" spans="1:22">
      <c r="A248">
        <v>5369</v>
      </c>
      <c r="B248" t="s">
        <v>2326</v>
      </c>
      <c r="C248">
        <v>5697</v>
      </c>
      <c r="D248" t="s">
        <v>2199</v>
      </c>
      <c r="E248" t="s">
        <v>2034</v>
      </c>
      <c r="F248">
        <v>202110</v>
      </c>
      <c r="G248" t="s">
        <v>2168</v>
      </c>
      <c r="H248">
        <v>4815.32</v>
      </c>
      <c r="O248">
        <v>5369</v>
      </c>
      <c r="P248" t="s">
        <v>2326</v>
      </c>
      <c r="Q248">
        <v>5697</v>
      </c>
      <c r="R248" t="s">
        <v>2199</v>
      </c>
      <c r="S248" t="s">
        <v>2034</v>
      </c>
      <c r="T248">
        <v>202208</v>
      </c>
      <c r="U248" t="s">
        <v>191</v>
      </c>
      <c r="V248">
        <v>53158</v>
      </c>
    </row>
    <row r="249" spans="1:22">
      <c r="A249">
        <v>5369</v>
      </c>
      <c r="B249" t="s">
        <v>2326</v>
      </c>
      <c r="C249">
        <v>5697</v>
      </c>
      <c r="D249" t="s">
        <v>2199</v>
      </c>
      <c r="E249" t="s">
        <v>2034</v>
      </c>
      <c r="F249">
        <v>202110</v>
      </c>
      <c r="G249" t="s">
        <v>186</v>
      </c>
      <c r="H249">
        <v>0</v>
      </c>
      <c r="O249">
        <v>5369</v>
      </c>
      <c r="P249" t="s">
        <v>2326</v>
      </c>
      <c r="Q249">
        <v>5697</v>
      </c>
      <c r="R249" t="s">
        <v>2199</v>
      </c>
      <c r="S249" t="s">
        <v>2034</v>
      </c>
      <c r="T249">
        <v>202208</v>
      </c>
      <c r="U249" t="s">
        <v>178</v>
      </c>
      <c r="V249">
        <v>2522</v>
      </c>
    </row>
    <row r="250" spans="1:22">
      <c r="A250">
        <v>5369</v>
      </c>
      <c r="B250" t="s">
        <v>2326</v>
      </c>
      <c r="C250">
        <v>5697</v>
      </c>
      <c r="D250" t="s">
        <v>2199</v>
      </c>
      <c r="E250" t="s">
        <v>2034</v>
      </c>
      <c r="F250">
        <v>202110</v>
      </c>
      <c r="G250" t="s">
        <v>2167</v>
      </c>
      <c r="H250">
        <v>53.32</v>
      </c>
      <c r="O250">
        <v>5369</v>
      </c>
      <c r="P250" t="s">
        <v>2326</v>
      </c>
      <c r="Q250">
        <v>5697</v>
      </c>
      <c r="R250" t="s">
        <v>2199</v>
      </c>
      <c r="S250" t="s">
        <v>2034</v>
      </c>
      <c r="T250">
        <v>202208</v>
      </c>
      <c r="U250" t="s">
        <v>180</v>
      </c>
      <c r="V250">
        <v>1550</v>
      </c>
    </row>
    <row r="251" spans="1:22">
      <c r="A251">
        <v>5369</v>
      </c>
      <c r="B251" t="s">
        <v>2326</v>
      </c>
      <c r="C251">
        <v>5697</v>
      </c>
      <c r="D251" t="s">
        <v>2199</v>
      </c>
      <c r="E251" t="s">
        <v>2034</v>
      </c>
      <c r="F251">
        <v>202110</v>
      </c>
      <c r="G251" t="s">
        <v>2164</v>
      </c>
      <c r="H251">
        <v>12.31</v>
      </c>
      <c r="O251">
        <v>5369</v>
      </c>
      <c r="P251" t="s">
        <v>2326</v>
      </c>
      <c r="Q251">
        <v>5697</v>
      </c>
      <c r="R251" t="s">
        <v>2199</v>
      </c>
      <c r="S251" t="s">
        <v>2034</v>
      </c>
      <c r="T251">
        <v>202208</v>
      </c>
      <c r="U251" t="s">
        <v>182</v>
      </c>
      <c r="V251">
        <v>743953</v>
      </c>
    </row>
    <row r="252" spans="1:22">
      <c r="A252">
        <v>5369</v>
      </c>
      <c r="B252" t="s">
        <v>2326</v>
      </c>
      <c r="C252">
        <v>5697</v>
      </c>
      <c r="D252" t="s">
        <v>2199</v>
      </c>
      <c r="E252" t="s">
        <v>2034</v>
      </c>
      <c r="F252">
        <v>202110</v>
      </c>
      <c r="G252" t="s">
        <v>2165</v>
      </c>
      <c r="H252">
        <v>23.85</v>
      </c>
      <c r="O252">
        <v>5369</v>
      </c>
      <c r="P252" t="s">
        <v>2326</v>
      </c>
      <c r="Q252">
        <v>5697</v>
      </c>
      <c r="R252" t="s">
        <v>2199</v>
      </c>
      <c r="S252" t="s">
        <v>2034</v>
      </c>
      <c r="T252">
        <v>202208</v>
      </c>
      <c r="U252" t="s">
        <v>184</v>
      </c>
      <c r="V252">
        <v>53158</v>
      </c>
    </row>
    <row r="253" spans="1:22">
      <c r="A253">
        <v>5369</v>
      </c>
      <c r="B253" t="s">
        <v>2326</v>
      </c>
      <c r="C253">
        <v>5697</v>
      </c>
      <c r="D253" t="s">
        <v>2199</v>
      </c>
      <c r="E253" t="s">
        <v>2034</v>
      </c>
      <c r="F253">
        <v>202110</v>
      </c>
      <c r="G253" t="s">
        <v>2166</v>
      </c>
      <c r="H253">
        <v>10.31</v>
      </c>
      <c r="O253">
        <v>5369</v>
      </c>
      <c r="P253" t="s">
        <v>2326</v>
      </c>
      <c r="Q253">
        <v>5697</v>
      </c>
      <c r="R253" t="s">
        <v>2199</v>
      </c>
      <c r="S253" t="s">
        <v>2034</v>
      </c>
      <c r="T253">
        <v>202208</v>
      </c>
      <c r="U253" t="s">
        <v>186</v>
      </c>
      <c r="V253">
        <v>0</v>
      </c>
    </row>
    <row r="254" spans="1:22">
      <c r="A254">
        <v>5369</v>
      </c>
      <c r="B254" t="s">
        <v>2326</v>
      </c>
      <c r="C254">
        <v>5697</v>
      </c>
      <c r="D254" t="s">
        <v>2199</v>
      </c>
      <c r="E254" t="s">
        <v>2034</v>
      </c>
      <c r="F254">
        <v>202110</v>
      </c>
      <c r="G254" t="s">
        <v>2169</v>
      </c>
      <c r="H254">
        <v>201239.52</v>
      </c>
    </row>
    <row r="255" spans="1:22">
      <c r="A255">
        <v>5369</v>
      </c>
      <c r="B255" t="s">
        <v>2326</v>
      </c>
      <c r="C255">
        <v>5697</v>
      </c>
      <c r="D255" t="s">
        <v>2199</v>
      </c>
      <c r="E255" t="s">
        <v>2034</v>
      </c>
      <c r="F255">
        <v>202110</v>
      </c>
      <c r="G255" t="s">
        <v>190</v>
      </c>
      <c r="H255">
        <v>2019883</v>
      </c>
    </row>
    <row r="256" spans="1:22">
      <c r="A256">
        <v>5369</v>
      </c>
      <c r="B256" t="s">
        <v>2326</v>
      </c>
      <c r="C256">
        <v>5697</v>
      </c>
      <c r="D256" t="s">
        <v>2199</v>
      </c>
      <c r="E256" t="s">
        <v>2034</v>
      </c>
      <c r="F256">
        <v>202110</v>
      </c>
      <c r="G256" t="s">
        <v>191</v>
      </c>
      <c r="H256">
        <v>130421</v>
      </c>
    </row>
    <row r="257" spans="1:8">
      <c r="A257">
        <v>5369</v>
      </c>
      <c r="B257" t="s">
        <v>2326</v>
      </c>
      <c r="C257">
        <v>5697</v>
      </c>
      <c r="D257" t="s">
        <v>2199</v>
      </c>
      <c r="E257" t="s">
        <v>2034</v>
      </c>
      <c r="F257">
        <v>202110</v>
      </c>
      <c r="G257" t="s">
        <v>176</v>
      </c>
      <c r="H257">
        <v>0</v>
      </c>
    </row>
    <row r="258" spans="1:8">
      <c r="A258">
        <v>5369</v>
      </c>
      <c r="B258" t="s">
        <v>2326</v>
      </c>
      <c r="C258">
        <v>5697</v>
      </c>
      <c r="D258" t="s">
        <v>2199</v>
      </c>
      <c r="E258" t="s">
        <v>2034</v>
      </c>
      <c r="F258">
        <v>202110</v>
      </c>
      <c r="G258" t="s">
        <v>178</v>
      </c>
      <c r="H258">
        <v>6518</v>
      </c>
    </row>
    <row r="259" spans="1:8">
      <c r="A259">
        <v>5369</v>
      </c>
      <c r="B259" t="s">
        <v>2326</v>
      </c>
      <c r="C259">
        <v>5697</v>
      </c>
      <c r="D259" t="s">
        <v>2199</v>
      </c>
      <c r="E259" t="s">
        <v>2034</v>
      </c>
      <c r="F259">
        <v>202110</v>
      </c>
      <c r="G259" t="s">
        <v>180</v>
      </c>
      <c r="H259">
        <v>4000</v>
      </c>
    </row>
    <row r="260" spans="1:8">
      <c r="A260">
        <v>5369</v>
      </c>
      <c r="B260" t="s">
        <v>2326</v>
      </c>
      <c r="C260">
        <v>5697</v>
      </c>
      <c r="D260" t="s">
        <v>2199</v>
      </c>
      <c r="E260" t="s">
        <v>2034</v>
      </c>
      <c r="F260">
        <v>202110</v>
      </c>
      <c r="G260" t="s">
        <v>182</v>
      </c>
      <c r="H260">
        <v>2089103</v>
      </c>
    </row>
    <row r="261" spans="1:8">
      <c r="A261">
        <v>5369</v>
      </c>
      <c r="B261" t="s">
        <v>2326</v>
      </c>
      <c r="C261">
        <v>5697</v>
      </c>
      <c r="D261" t="s">
        <v>2199</v>
      </c>
      <c r="E261" t="s">
        <v>2034</v>
      </c>
      <c r="F261">
        <v>202110</v>
      </c>
      <c r="G261" t="s">
        <v>184</v>
      </c>
      <c r="H261">
        <v>130421</v>
      </c>
    </row>
    <row r="262" spans="1:8">
      <c r="A262">
        <v>5369</v>
      </c>
      <c r="B262" t="s">
        <v>2326</v>
      </c>
      <c r="C262">
        <v>5697</v>
      </c>
      <c r="D262" t="s">
        <v>2199</v>
      </c>
      <c r="E262" t="s">
        <v>2034</v>
      </c>
      <c r="F262">
        <v>202110</v>
      </c>
      <c r="G262" t="s">
        <v>192</v>
      </c>
      <c r="H262">
        <v>0</v>
      </c>
    </row>
    <row r="263" spans="1:8">
      <c r="A263">
        <v>5369</v>
      </c>
      <c r="B263" t="s">
        <v>2326</v>
      </c>
      <c r="C263">
        <v>5697</v>
      </c>
      <c r="D263" t="s">
        <v>2199</v>
      </c>
      <c r="E263" t="s">
        <v>2034</v>
      </c>
      <c r="F263">
        <v>202110</v>
      </c>
      <c r="G263" t="s">
        <v>2168</v>
      </c>
      <c r="H263">
        <v>8426.2999999999993</v>
      </c>
    </row>
    <row r="264" spans="1:8">
      <c r="A264">
        <v>5369</v>
      </c>
      <c r="B264" t="s">
        <v>2326</v>
      </c>
      <c r="C264">
        <v>5697</v>
      </c>
      <c r="D264" t="s">
        <v>2199</v>
      </c>
      <c r="E264" t="s">
        <v>2034</v>
      </c>
      <c r="F264">
        <v>202110</v>
      </c>
      <c r="G264" t="s">
        <v>186</v>
      </c>
      <c r="H264">
        <v>69220</v>
      </c>
    </row>
    <row r="265" spans="1:8">
      <c r="A265">
        <v>5369</v>
      </c>
      <c r="B265" t="s">
        <v>2326</v>
      </c>
      <c r="C265">
        <v>5697</v>
      </c>
      <c r="D265" t="s">
        <v>2199</v>
      </c>
      <c r="E265" t="s">
        <v>2034</v>
      </c>
      <c r="F265">
        <v>202110</v>
      </c>
      <c r="G265" t="s">
        <v>2167</v>
      </c>
      <c r="H265">
        <v>53.32</v>
      </c>
    </row>
    <row r="266" spans="1:8">
      <c r="A266">
        <v>5369</v>
      </c>
      <c r="B266" t="s">
        <v>2326</v>
      </c>
      <c r="C266">
        <v>5697</v>
      </c>
      <c r="D266" t="s">
        <v>2199</v>
      </c>
      <c r="E266" t="s">
        <v>2034</v>
      </c>
      <c r="F266">
        <v>202110</v>
      </c>
      <c r="G266" t="s">
        <v>2164</v>
      </c>
      <c r="H266">
        <v>12.31</v>
      </c>
    </row>
    <row r="267" spans="1:8">
      <c r="A267">
        <v>5369</v>
      </c>
      <c r="B267" t="s">
        <v>2326</v>
      </c>
      <c r="C267">
        <v>5697</v>
      </c>
      <c r="D267" t="s">
        <v>2199</v>
      </c>
      <c r="E267" t="s">
        <v>2034</v>
      </c>
      <c r="F267">
        <v>202110</v>
      </c>
      <c r="G267" t="s">
        <v>2165</v>
      </c>
      <c r="H267">
        <v>23.85</v>
      </c>
    </row>
    <row r="268" spans="1:8">
      <c r="A268">
        <v>5369</v>
      </c>
      <c r="B268" t="s">
        <v>2326</v>
      </c>
      <c r="C268">
        <v>5697</v>
      </c>
      <c r="D268" t="s">
        <v>2199</v>
      </c>
      <c r="E268" t="s">
        <v>2034</v>
      </c>
      <c r="F268">
        <v>202110</v>
      </c>
      <c r="G268" t="s">
        <v>2166</v>
      </c>
      <c r="H268">
        <v>10.31</v>
      </c>
    </row>
    <row r="269" spans="1:8">
      <c r="A269">
        <v>5369</v>
      </c>
      <c r="B269" t="s">
        <v>2326</v>
      </c>
      <c r="C269">
        <v>5697</v>
      </c>
      <c r="D269" t="s">
        <v>2199</v>
      </c>
      <c r="E269" t="s">
        <v>2034</v>
      </c>
      <c r="F269">
        <v>202110</v>
      </c>
      <c r="G269" t="s">
        <v>2169</v>
      </c>
      <c r="H269">
        <v>321614.31</v>
      </c>
    </row>
    <row r="270" spans="1:8">
      <c r="A270">
        <v>5369</v>
      </c>
      <c r="B270" t="s">
        <v>2326</v>
      </c>
      <c r="C270">
        <v>5697</v>
      </c>
      <c r="D270" t="s">
        <v>2199</v>
      </c>
      <c r="E270" t="s">
        <v>2034</v>
      </c>
      <c r="F270">
        <v>202111</v>
      </c>
      <c r="G270" t="s">
        <v>190</v>
      </c>
      <c r="H270">
        <v>2005496</v>
      </c>
    </row>
    <row r="271" spans="1:8">
      <c r="A271">
        <v>5369</v>
      </c>
      <c r="B271" t="s">
        <v>2326</v>
      </c>
      <c r="C271">
        <v>5697</v>
      </c>
      <c r="D271" t="s">
        <v>2199</v>
      </c>
      <c r="E271" t="s">
        <v>2034</v>
      </c>
      <c r="F271">
        <v>202111</v>
      </c>
      <c r="G271" t="s">
        <v>191</v>
      </c>
      <c r="H271">
        <v>118725</v>
      </c>
    </row>
    <row r="272" spans="1:8">
      <c r="A272">
        <v>5369</v>
      </c>
      <c r="B272" t="s">
        <v>2326</v>
      </c>
      <c r="C272">
        <v>5697</v>
      </c>
      <c r="D272" t="s">
        <v>2199</v>
      </c>
      <c r="E272" t="s">
        <v>2034</v>
      </c>
      <c r="F272">
        <v>202111</v>
      </c>
      <c r="G272" t="s">
        <v>176</v>
      </c>
      <c r="H272">
        <v>0</v>
      </c>
    </row>
    <row r="273" spans="1:8">
      <c r="A273">
        <v>5369</v>
      </c>
      <c r="B273" t="s">
        <v>2326</v>
      </c>
      <c r="C273">
        <v>5697</v>
      </c>
      <c r="D273" t="s">
        <v>2199</v>
      </c>
      <c r="E273" t="s">
        <v>2034</v>
      </c>
      <c r="F273">
        <v>202111</v>
      </c>
      <c r="G273" t="s">
        <v>178</v>
      </c>
      <c r="H273">
        <v>6639</v>
      </c>
    </row>
    <row r="274" spans="1:8">
      <c r="A274">
        <v>5369</v>
      </c>
      <c r="B274" t="s">
        <v>2326</v>
      </c>
      <c r="C274">
        <v>5697</v>
      </c>
      <c r="D274" t="s">
        <v>2199</v>
      </c>
      <c r="E274" t="s">
        <v>2034</v>
      </c>
      <c r="F274">
        <v>202111</v>
      </c>
      <c r="G274" t="s">
        <v>180</v>
      </c>
      <c r="H274">
        <v>4000</v>
      </c>
    </row>
    <row r="275" spans="1:8">
      <c r="A275">
        <v>5369</v>
      </c>
      <c r="B275" t="s">
        <v>2326</v>
      </c>
      <c r="C275">
        <v>5697</v>
      </c>
      <c r="D275" t="s">
        <v>2199</v>
      </c>
      <c r="E275" t="s">
        <v>2034</v>
      </c>
      <c r="F275">
        <v>202111</v>
      </c>
      <c r="G275" t="s">
        <v>182</v>
      </c>
      <c r="H275">
        <v>2079198</v>
      </c>
    </row>
    <row r="276" spans="1:8">
      <c r="A276">
        <v>5369</v>
      </c>
      <c r="B276" t="s">
        <v>2326</v>
      </c>
      <c r="C276">
        <v>5697</v>
      </c>
      <c r="D276" t="s">
        <v>2199</v>
      </c>
      <c r="E276" t="s">
        <v>2034</v>
      </c>
      <c r="F276">
        <v>202111</v>
      </c>
      <c r="G276" t="s">
        <v>184</v>
      </c>
      <c r="H276">
        <v>118725</v>
      </c>
    </row>
    <row r="277" spans="1:8">
      <c r="A277">
        <v>5369</v>
      </c>
      <c r="B277" t="s">
        <v>2326</v>
      </c>
      <c r="C277">
        <v>5697</v>
      </c>
      <c r="D277" t="s">
        <v>2199</v>
      </c>
      <c r="E277" t="s">
        <v>2034</v>
      </c>
      <c r="F277">
        <v>202111</v>
      </c>
      <c r="G277" t="s">
        <v>192</v>
      </c>
      <c r="H277">
        <v>0</v>
      </c>
    </row>
    <row r="278" spans="1:8">
      <c r="A278">
        <v>5369</v>
      </c>
      <c r="B278" t="s">
        <v>2326</v>
      </c>
      <c r="C278">
        <v>5697</v>
      </c>
      <c r="D278" t="s">
        <v>2199</v>
      </c>
      <c r="E278" t="s">
        <v>2034</v>
      </c>
      <c r="F278">
        <v>202111</v>
      </c>
      <c r="G278" t="s">
        <v>2168</v>
      </c>
      <c r="H278">
        <v>16618.46</v>
      </c>
    </row>
    <row r="279" spans="1:8">
      <c r="A279">
        <v>5369</v>
      </c>
      <c r="B279" t="s">
        <v>2326</v>
      </c>
      <c r="C279">
        <v>5697</v>
      </c>
      <c r="D279" t="s">
        <v>2199</v>
      </c>
      <c r="E279" t="s">
        <v>2034</v>
      </c>
      <c r="F279">
        <v>202111</v>
      </c>
      <c r="G279" t="s">
        <v>186</v>
      </c>
      <c r="H279">
        <v>73702</v>
      </c>
    </row>
    <row r="280" spans="1:8">
      <c r="A280">
        <v>5369</v>
      </c>
      <c r="B280" t="s">
        <v>2326</v>
      </c>
      <c r="C280">
        <v>5697</v>
      </c>
      <c r="D280" t="s">
        <v>2199</v>
      </c>
      <c r="E280" t="s">
        <v>2034</v>
      </c>
      <c r="F280">
        <v>202111</v>
      </c>
      <c r="G280" t="s">
        <v>2167</v>
      </c>
      <c r="H280">
        <v>120.75</v>
      </c>
    </row>
    <row r="281" spans="1:8">
      <c r="A281">
        <v>5369</v>
      </c>
      <c r="B281" t="s">
        <v>2326</v>
      </c>
      <c r="C281">
        <v>5697</v>
      </c>
      <c r="D281" t="s">
        <v>2199</v>
      </c>
      <c r="E281" t="s">
        <v>2034</v>
      </c>
      <c r="F281">
        <v>202111</v>
      </c>
      <c r="G281" t="s">
        <v>2164</v>
      </c>
      <c r="H281">
        <v>11.83</v>
      </c>
    </row>
    <row r="282" spans="1:8">
      <c r="A282">
        <v>5369</v>
      </c>
      <c r="B282" t="s">
        <v>2326</v>
      </c>
      <c r="C282">
        <v>5697</v>
      </c>
      <c r="D282" t="s">
        <v>2199</v>
      </c>
      <c r="E282" t="s">
        <v>2034</v>
      </c>
      <c r="F282">
        <v>202111</v>
      </c>
      <c r="G282" t="s">
        <v>2165</v>
      </c>
      <c r="H282">
        <v>21.22</v>
      </c>
    </row>
    <row r="283" spans="1:8">
      <c r="A283">
        <v>5369</v>
      </c>
      <c r="B283" t="s">
        <v>2326</v>
      </c>
      <c r="C283">
        <v>5697</v>
      </c>
      <c r="D283" t="s">
        <v>2199</v>
      </c>
      <c r="E283" t="s">
        <v>2034</v>
      </c>
      <c r="F283">
        <v>202111</v>
      </c>
      <c r="G283" t="s">
        <v>2166</v>
      </c>
      <c r="H283">
        <v>14.37</v>
      </c>
    </row>
    <row r="284" spans="1:8">
      <c r="A284">
        <v>5369</v>
      </c>
      <c r="B284" t="s">
        <v>2326</v>
      </c>
      <c r="C284">
        <v>5697</v>
      </c>
      <c r="D284" t="s">
        <v>2199</v>
      </c>
      <c r="E284" t="s">
        <v>2034</v>
      </c>
      <c r="F284">
        <v>202111</v>
      </c>
      <c r="G284" t="s">
        <v>2169</v>
      </c>
      <c r="H284">
        <v>512461.26</v>
      </c>
    </row>
    <row r="285" spans="1:8">
      <c r="A285">
        <v>5369</v>
      </c>
      <c r="B285" t="s">
        <v>2326</v>
      </c>
      <c r="C285">
        <v>5697</v>
      </c>
      <c r="D285" t="s">
        <v>2199</v>
      </c>
      <c r="E285" t="s">
        <v>2034</v>
      </c>
      <c r="F285">
        <v>202111</v>
      </c>
      <c r="G285" t="s">
        <v>190</v>
      </c>
      <c r="H285">
        <v>1108262</v>
      </c>
    </row>
    <row r="286" spans="1:8">
      <c r="A286">
        <v>5369</v>
      </c>
      <c r="B286" t="s">
        <v>2326</v>
      </c>
      <c r="C286">
        <v>5697</v>
      </c>
      <c r="D286" t="s">
        <v>2199</v>
      </c>
      <c r="E286" t="s">
        <v>2034</v>
      </c>
      <c r="F286">
        <v>202111</v>
      </c>
      <c r="G286" t="s">
        <v>191</v>
      </c>
      <c r="H286">
        <v>102166</v>
      </c>
    </row>
    <row r="287" spans="1:8">
      <c r="A287">
        <v>5369</v>
      </c>
      <c r="B287" t="s">
        <v>2326</v>
      </c>
      <c r="C287">
        <v>5697</v>
      </c>
      <c r="D287" t="s">
        <v>2199</v>
      </c>
      <c r="E287" t="s">
        <v>2034</v>
      </c>
      <c r="F287">
        <v>202111</v>
      </c>
      <c r="G287" t="s">
        <v>176</v>
      </c>
      <c r="H287">
        <v>0</v>
      </c>
    </row>
    <row r="288" spans="1:8">
      <c r="A288">
        <v>5369</v>
      </c>
      <c r="B288" t="s">
        <v>2326</v>
      </c>
      <c r="C288">
        <v>5697</v>
      </c>
      <c r="D288" t="s">
        <v>2199</v>
      </c>
      <c r="E288" t="s">
        <v>2034</v>
      </c>
      <c r="F288">
        <v>202111</v>
      </c>
      <c r="G288" t="s">
        <v>178</v>
      </c>
      <c r="H288">
        <v>3026</v>
      </c>
    </row>
    <row r="289" spans="1:8">
      <c r="A289">
        <v>5369</v>
      </c>
      <c r="B289" t="s">
        <v>2326</v>
      </c>
      <c r="C289">
        <v>5697</v>
      </c>
      <c r="D289" t="s">
        <v>2199</v>
      </c>
      <c r="E289" t="s">
        <v>2034</v>
      </c>
      <c r="F289">
        <v>202111</v>
      </c>
      <c r="G289" t="s">
        <v>180</v>
      </c>
      <c r="H289">
        <v>2250</v>
      </c>
    </row>
    <row r="290" spans="1:8">
      <c r="A290">
        <v>5369</v>
      </c>
      <c r="B290" t="s">
        <v>2326</v>
      </c>
      <c r="C290">
        <v>5697</v>
      </c>
      <c r="D290" t="s">
        <v>2199</v>
      </c>
      <c r="E290" t="s">
        <v>2034</v>
      </c>
      <c r="F290">
        <v>202111</v>
      </c>
      <c r="G290" t="s">
        <v>182</v>
      </c>
      <c r="H290">
        <v>1108262</v>
      </c>
    </row>
    <row r="291" spans="1:8">
      <c r="A291">
        <v>5369</v>
      </c>
      <c r="B291" t="s">
        <v>2326</v>
      </c>
      <c r="C291">
        <v>5697</v>
      </c>
      <c r="D291" t="s">
        <v>2199</v>
      </c>
      <c r="E291" t="s">
        <v>2034</v>
      </c>
      <c r="F291">
        <v>202111</v>
      </c>
      <c r="G291" t="s">
        <v>184</v>
      </c>
      <c r="H291">
        <v>102166</v>
      </c>
    </row>
    <row r="292" spans="1:8">
      <c r="A292">
        <v>5369</v>
      </c>
      <c r="B292" t="s">
        <v>2326</v>
      </c>
      <c r="C292">
        <v>5697</v>
      </c>
      <c r="D292" t="s">
        <v>2199</v>
      </c>
      <c r="E292" t="s">
        <v>2034</v>
      </c>
      <c r="F292">
        <v>202111</v>
      </c>
      <c r="G292" t="s">
        <v>192</v>
      </c>
      <c r="H292">
        <v>0</v>
      </c>
    </row>
    <row r="293" spans="1:8">
      <c r="A293">
        <v>5369</v>
      </c>
      <c r="B293" t="s">
        <v>2326</v>
      </c>
      <c r="C293">
        <v>5697</v>
      </c>
      <c r="D293" t="s">
        <v>2199</v>
      </c>
      <c r="E293" t="s">
        <v>2034</v>
      </c>
      <c r="F293">
        <v>202111</v>
      </c>
      <c r="G293" t="s">
        <v>2168</v>
      </c>
      <c r="H293">
        <v>9468.94</v>
      </c>
    </row>
    <row r="294" spans="1:8">
      <c r="A294">
        <v>5369</v>
      </c>
      <c r="B294" t="s">
        <v>2326</v>
      </c>
      <c r="C294">
        <v>5697</v>
      </c>
      <c r="D294" t="s">
        <v>2199</v>
      </c>
      <c r="E294" t="s">
        <v>2034</v>
      </c>
      <c r="F294">
        <v>202111</v>
      </c>
      <c r="G294" t="s">
        <v>186</v>
      </c>
      <c r="H294">
        <v>0</v>
      </c>
    </row>
    <row r="295" spans="1:8">
      <c r="A295">
        <v>5369</v>
      </c>
      <c r="B295" t="s">
        <v>2326</v>
      </c>
      <c r="C295">
        <v>5697</v>
      </c>
      <c r="D295" t="s">
        <v>2199</v>
      </c>
      <c r="E295" t="s">
        <v>2034</v>
      </c>
      <c r="F295">
        <v>202111</v>
      </c>
      <c r="G295" t="s">
        <v>2167</v>
      </c>
      <c r="H295">
        <v>120.75</v>
      </c>
    </row>
    <row r="296" spans="1:8">
      <c r="A296">
        <v>5369</v>
      </c>
      <c r="B296" t="s">
        <v>2326</v>
      </c>
      <c r="C296">
        <v>5697</v>
      </c>
      <c r="D296" t="s">
        <v>2199</v>
      </c>
      <c r="E296" t="s">
        <v>2034</v>
      </c>
      <c r="F296">
        <v>202111</v>
      </c>
      <c r="G296" t="s">
        <v>2164</v>
      </c>
      <c r="H296">
        <v>11.83</v>
      </c>
    </row>
    <row r="297" spans="1:8">
      <c r="A297">
        <v>5369</v>
      </c>
      <c r="B297" t="s">
        <v>2326</v>
      </c>
      <c r="C297">
        <v>5697</v>
      </c>
      <c r="D297" t="s">
        <v>2199</v>
      </c>
      <c r="E297" t="s">
        <v>2034</v>
      </c>
      <c r="F297">
        <v>202111</v>
      </c>
      <c r="G297" t="s">
        <v>2165</v>
      </c>
      <c r="H297">
        <v>21.22</v>
      </c>
    </row>
    <row r="298" spans="1:8">
      <c r="A298">
        <v>5369</v>
      </c>
      <c r="B298" t="s">
        <v>2326</v>
      </c>
      <c r="C298">
        <v>5697</v>
      </c>
      <c r="D298" t="s">
        <v>2199</v>
      </c>
      <c r="E298" t="s">
        <v>2034</v>
      </c>
      <c r="F298">
        <v>202111</v>
      </c>
      <c r="G298" t="s">
        <v>2166</v>
      </c>
      <c r="H298">
        <v>14.37</v>
      </c>
    </row>
    <row r="299" spans="1:8">
      <c r="A299">
        <v>5369</v>
      </c>
      <c r="B299" t="s">
        <v>2326</v>
      </c>
      <c r="C299">
        <v>5697</v>
      </c>
      <c r="D299" t="s">
        <v>2199</v>
      </c>
      <c r="E299" t="s">
        <v>2034</v>
      </c>
      <c r="F299">
        <v>202111</v>
      </c>
      <c r="G299" t="s">
        <v>2169</v>
      </c>
      <c r="H299">
        <v>266730.73</v>
      </c>
    </row>
    <row r="300" spans="1:8">
      <c r="A300">
        <v>5369</v>
      </c>
      <c r="B300" t="s">
        <v>2326</v>
      </c>
      <c r="C300">
        <v>5697</v>
      </c>
      <c r="D300" t="s">
        <v>2199</v>
      </c>
      <c r="E300" t="s">
        <v>2034</v>
      </c>
      <c r="F300">
        <v>202111</v>
      </c>
      <c r="G300" t="s">
        <v>190</v>
      </c>
      <c r="H300">
        <v>725280</v>
      </c>
    </row>
    <row r="301" spans="1:8">
      <c r="A301">
        <v>5369</v>
      </c>
      <c r="B301" t="s">
        <v>2326</v>
      </c>
      <c r="C301">
        <v>5697</v>
      </c>
      <c r="D301" t="s">
        <v>2199</v>
      </c>
      <c r="E301" t="s">
        <v>2034</v>
      </c>
      <c r="F301">
        <v>202111</v>
      </c>
      <c r="G301" t="s">
        <v>191</v>
      </c>
      <c r="H301">
        <v>46077</v>
      </c>
    </row>
    <row r="302" spans="1:8">
      <c r="A302">
        <v>5369</v>
      </c>
      <c r="B302" t="s">
        <v>2326</v>
      </c>
      <c r="C302">
        <v>5697</v>
      </c>
      <c r="D302" t="s">
        <v>2199</v>
      </c>
      <c r="E302" t="s">
        <v>2034</v>
      </c>
      <c r="F302">
        <v>202111</v>
      </c>
      <c r="G302" t="s">
        <v>176</v>
      </c>
      <c r="H302">
        <v>0</v>
      </c>
    </row>
    <row r="303" spans="1:8">
      <c r="A303">
        <v>5369</v>
      </c>
      <c r="B303" t="s">
        <v>2326</v>
      </c>
      <c r="C303">
        <v>5697</v>
      </c>
      <c r="D303" t="s">
        <v>2199</v>
      </c>
      <c r="E303" t="s">
        <v>2034</v>
      </c>
      <c r="F303">
        <v>202111</v>
      </c>
      <c r="G303" t="s">
        <v>178</v>
      </c>
      <c r="H303">
        <v>2384</v>
      </c>
    </row>
    <row r="304" spans="1:8">
      <c r="A304">
        <v>5369</v>
      </c>
      <c r="B304" t="s">
        <v>2326</v>
      </c>
      <c r="C304">
        <v>5697</v>
      </c>
      <c r="D304" t="s">
        <v>2199</v>
      </c>
      <c r="E304" t="s">
        <v>2034</v>
      </c>
      <c r="F304">
        <v>202111</v>
      </c>
      <c r="G304" t="s">
        <v>180</v>
      </c>
      <c r="H304">
        <v>1550</v>
      </c>
    </row>
    <row r="305" spans="1:8">
      <c r="A305">
        <v>5369</v>
      </c>
      <c r="B305" t="s">
        <v>2326</v>
      </c>
      <c r="C305">
        <v>5697</v>
      </c>
      <c r="D305" t="s">
        <v>2199</v>
      </c>
      <c r="E305" t="s">
        <v>2034</v>
      </c>
      <c r="F305">
        <v>202111</v>
      </c>
      <c r="G305" t="s">
        <v>182</v>
      </c>
      <c r="H305">
        <v>725280</v>
      </c>
    </row>
    <row r="306" spans="1:8">
      <c r="A306">
        <v>5369</v>
      </c>
      <c r="B306" t="s">
        <v>2326</v>
      </c>
      <c r="C306">
        <v>5697</v>
      </c>
      <c r="D306" t="s">
        <v>2199</v>
      </c>
      <c r="E306" t="s">
        <v>2034</v>
      </c>
      <c r="F306">
        <v>202111</v>
      </c>
      <c r="G306" t="s">
        <v>184</v>
      </c>
      <c r="H306">
        <v>46077</v>
      </c>
    </row>
    <row r="307" spans="1:8">
      <c r="A307">
        <v>5369</v>
      </c>
      <c r="B307" t="s">
        <v>2326</v>
      </c>
      <c r="C307">
        <v>5697</v>
      </c>
      <c r="D307" t="s">
        <v>2199</v>
      </c>
      <c r="E307" t="s">
        <v>2034</v>
      </c>
      <c r="F307">
        <v>202111</v>
      </c>
      <c r="G307" t="s">
        <v>192</v>
      </c>
      <c r="H307">
        <v>0</v>
      </c>
    </row>
    <row r="308" spans="1:8">
      <c r="A308">
        <v>5369</v>
      </c>
      <c r="B308" t="s">
        <v>2326</v>
      </c>
      <c r="C308">
        <v>5697</v>
      </c>
      <c r="D308" t="s">
        <v>2199</v>
      </c>
      <c r="E308" t="s">
        <v>2034</v>
      </c>
      <c r="F308">
        <v>202111</v>
      </c>
      <c r="G308" t="s">
        <v>2168</v>
      </c>
      <c r="H308">
        <v>4184.08</v>
      </c>
    </row>
    <row r="309" spans="1:8">
      <c r="A309">
        <v>5369</v>
      </c>
      <c r="B309" t="s">
        <v>2326</v>
      </c>
      <c r="C309">
        <v>5697</v>
      </c>
      <c r="D309" t="s">
        <v>2199</v>
      </c>
      <c r="E309" t="s">
        <v>2034</v>
      </c>
      <c r="F309">
        <v>202111</v>
      </c>
      <c r="G309" t="s">
        <v>186</v>
      </c>
      <c r="H309">
        <v>0</v>
      </c>
    </row>
    <row r="310" spans="1:8">
      <c r="A310">
        <v>5369</v>
      </c>
      <c r="B310" t="s">
        <v>2326</v>
      </c>
      <c r="C310">
        <v>5697</v>
      </c>
      <c r="D310" t="s">
        <v>2199</v>
      </c>
      <c r="E310" t="s">
        <v>2034</v>
      </c>
      <c r="F310">
        <v>202111</v>
      </c>
      <c r="G310" t="s">
        <v>2167</v>
      </c>
      <c r="H310">
        <v>120.75</v>
      </c>
    </row>
    <row r="311" spans="1:8">
      <c r="A311">
        <v>5369</v>
      </c>
      <c r="B311" t="s">
        <v>2326</v>
      </c>
      <c r="C311">
        <v>5697</v>
      </c>
      <c r="D311" t="s">
        <v>2199</v>
      </c>
      <c r="E311" t="s">
        <v>2034</v>
      </c>
      <c r="F311">
        <v>202111</v>
      </c>
      <c r="G311" t="s">
        <v>2164</v>
      </c>
      <c r="H311">
        <v>11.83</v>
      </c>
    </row>
    <row r="312" spans="1:8">
      <c r="A312">
        <v>5369</v>
      </c>
      <c r="B312" t="s">
        <v>2326</v>
      </c>
      <c r="C312">
        <v>5697</v>
      </c>
      <c r="D312" t="s">
        <v>2199</v>
      </c>
      <c r="E312" t="s">
        <v>2034</v>
      </c>
      <c r="F312">
        <v>202111</v>
      </c>
      <c r="G312" t="s">
        <v>2165</v>
      </c>
      <c r="H312">
        <v>21.22</v>
      </c>
    </row>
    <row r="313" spans="1:8">
      <c r="A313">
        <v>5369</v>
      </c>
      <c r="B313" t="s">
        <v>2326</v>
      </c>
      <c r="C313">
        <v>5697</v>
      </c>
      <c r="D313" t="s">
        <v>2199</v>
      </c>
      <c r="E313" t="s">
        <v>2034</v>
      </c>
      <c r="F313">
        <v>202111</v>
      </c>
      <c r="G313" t="s">
        <v>2166</v>
      </c>
      <c r="H313">
        <v>14.37</v>
      </c>
    </row>
    <row r="314" spans="1:8">
      <c r="A314">
        <v>5369</v>
      </c>
      <c r="B314" t="s">
        <v>2326</v>
      </c>
      <c r="C314">
        <v>5697</v>
      </c>
      <c r="D314" t="s">
        <v>2199</v>
      </c>
      <c r="E314" t="s">
        <v>2034</v>
      </c>
      <c r="F314">
        <v>202111</v>
      </c>
      <c r="G314" t="s">
        <v>2169</v>
      </c>
      <c r="H314">
        <v>124588.9</v>
      </c>
    </row>
    <row r="315" spans="1:8">
      <c r="A315">
        <v>5369</v>
      </c>
      <c r="B315" t="s">
        <v>2326</v>
      </c>
      <c r="C315">
        <v>5697</v>
      </c>
      <c r="D315" t="s">
        <v>2199</v>
      </c>
      <c r="E315" t="s">
        <v>2034</v>
      </c>
      <c r="F315">
        <v>202112</v>
      </c>
      <c r="G315" t="s">
        <v>190</v>
      </c>
      <c r="H315">
        <v>746302</v>
      </c>
    </row>
    <row r="316" spans="1:8">
      <c r="A316">
        <v>5369</v>
      </c>
      <c r="B316" t="s">
        <v>2326</v>
      </c>
      <c r="C316">
        <v>5697</v>
      </c>
      <c r="D316" t="s">
        <v>2199</v>
      </c>
      <c r="E316" t="s">
        <v>2034</v>
      </c>
      <c r="F316">
        <v>202112</v>
      </c>
      <c r="G316" t="s">
        <v>191</v>
      </c>
      <c r="H316">
        <v>46832</v>
      </c>
    </row>
    <row r="317" spans="1:8">
      <c r="A317">
        <v>5369</v>
      </c>
      <c r="B317" t="s">
        <v>2326</v>
      </c>
      <c r="C317">
        <v>5697</v>
      </c>
      <c r="D317" t="s">
        <v>2199</v>
      </c>
      <c r="E317" t="s">
        <v>2034</v>
      </c>
      <c r="F317">
        <v>202112</v>
      </c>
      <c r="G317" t="s">
        <v>176</v>
      </c>
      <c r="H317">
        <v>0</v>
      </c>
    </row>
    <row r="318" spans="1:8">
      <c r="A318">
        <v>5369</v>
      </c>
      <c r="B318" t="s">
        <v>2326</v>
      </c>
      <c r="C318">
        <v>5697</v>
      </c>
      <c r="D318" t="s">
        <v>2199</v>
      </c>
      <c r="E318" t="s">
        <v>2034</v>
      </c>
      <c r="F318">
        <v>202112</v>
      </c>
      <c r="G318" t="s">
        <v>178</v>
      </c>
      <c r="H318">
        <v>2559</v>
      </c>
    </row>
    <row r="319" spans="1:8">
      <c r="A319">
        <v>5369</v>
      </c>
      <c r="B319" t="s">
        <v>2326</v>
      </c>
      <c r="C319">
        <v>5697</v>
      </c>
      <c r="D319" t="s">
        <v>2199</v>
      </c>
      <c r="E319" t="s">
        <v>2034</v>
      </c>
      <c r="F319">
        <v>202112</v>
      </c>
      <c r="G319" t="s">
        <v>180</v>
      </c>
      <c r="H319">
        <v>1550</v>
      </c>
    </row>
    <row r="320" spans="1:8">
      <c r="A320">
        <v>5369</v>
      </c>
      <c r="B320" t="s">
        <v>2326</v>
      </c>
      <c r="C320">
        <v>5697</v>
      </c>
      <c r="D320" t="s">
        <v>2199</v>
      </c>
      <c r="E320" t="s">
        <v>2034</v>
      </c>
      <c r="F320">
        <v>202112</v>
      </c>
      <c r="G320" t="s">
        <v>182</v>
      </c>
      <c r="H320">
        <v>746302</v>
      </c>
    </row>
    <row r="321" spans="1:8">
      <c r="A321">
        <v>5369</v>
      </c>
      <c r="B321" t="s">
        <v>2326</v>
      </c>
      <c r="C321">
        <v>5697</v>
      </c>
      <c r="D321" t="s">
        <v>2199</v>
      </c>
      <c r="E321" t="s">
        <v>2034</v>
      </c>
      <c r="F321">
        <v>202112</v>
      </c>
      <c r="G321" t="s">
        <v>184</v>
      </c>
      <c r="H321">
        <v>46832</v>
      </c>
    </row>
    <row r="322" spans="1:8">
      <c r="A322">
        <v>5369</v>
      </c>
      <c r="B322" t="s">
        <v>2326</v>
      </c>
      <c r="C322">
        <v>5697</v>
      </c>
      <c r="D322" t="s">
        <v>2199</v>
      </c>
      <c r="E322" t="s">
        <v>2034</v>
      </c>
      <c r="F322">
        <v>202112</v>
      </c>
      <c r="G322" t="s">
        <v>192</v>
      </c>
      <c r="H322">
        <v>0</v>
      </c>
    </row>
    <row r="323" spans="1:8">
      <c r="A323">
        <v>5369</v>
      </c>
      <c r="B323" t="s">
        <v>2326</v>
      </c>
      <c r="C323">
        <v>5697</v>
      </c>
      <c r="D323" t="s">
        <v>2199</v>
      </c>
      <c r="E323" t="s">
        <v>2034</v>
      </c>
      <c r="F323">
        <v>202112</v>
      </c>
      <c r="G323" t="s">
        <v>2168</v>
      </c>
      <c r="H323">
        <v>4847.88</v>
      </c>
    </row>
    <row r="324" spans="1:8">
      <c r="A324">
        <v>5369</v>
      </c>
      <c r="B324" t="s">
        <v>2326</v>
      </c>
      <c r="C324">
        <v>5697</v>
      </c>
      <c r="D324" t="s">
        <v>2199</v>
      </c>
      <c r="E324" t="s">
        <v>2034</v>
      </c>
      <c r="F324">
        <v>202112</v>
      </c>
      <c r="G324" t="s">
        <v>186</v>
      </c>
      <c r="H324">
        <v>0</v>
      </c>
    </row>
    <row r="325" spans="1:8">
      <c r="A325">
        <v>5369</v>
      </c>
      <c r="B325" t="s">
        <v>2326</v>
      </c>
      <c r="C325">
        <v>5697</v>
      </c>
      <c r="D325" t="s">
        <v>2199</v>
      </c>
      <c r="E325" t="s">
        <v>2034</v>
      </c>
      <c r="F325">
        <v>202112</v>
      </c>
      <c r="G325" t="s">
        <v>2167</v>
      </c>
      <c r="H325">
        <v>120.75</v>
      </c>
    </row>
    <row r="326" spans="1:8">
      <c r="A326">
        <v>5369</v>
      </c>
      <c r="B326" t="s">
        <v>2326</v>
      </c>
      <c r="C326">
        <v>5697</v>
      </c>
      <c r="D326" t="s">
        <v>2199</v>
      </c>
      <c r="E326" t="s">
        <v>2034</v>
      </c>
      <c r="F326">
        <v>202112</v>
      </c>
      <c r="G326" t="s">
        <v>2164</v>
      </c>
      <c r="H326">
        <v>11.83</v>
      </c>
    </row>
    <row r="327" spans="1:8">
      <c r="A327">
        <v>5369</v>
      </c>
      <c r="B327" t="s">
        <v>2326</v>
      </c>
      <c r="C327">
        <v>5697</v>
      </c>
      <c r="D327" t="s">
        <v>2199</v>
      </c>
      <c r="E327" t="s">
        <v>2034</v>
      </c>
      <c r="F327">
        <v>202112</v>
      </c>
      <c r="G327" t="s">
        <v>2165</v>
      </c>
      <c r="H327">
        <v>21.22</v>
      </c>
    </row>
    <row r="328" spans="1:8">
      <c r="A328">
        <v>5369</v>
      </c>
      <c r="B328" t="s">
        <v>2326</v>
      </c>
      <c r="C328">
        <v>5697</v>
      </c>
      <c r="D328" t="s">
        <v>2199</v>
      </c>
      <c r="E328" t="s">
        <v>2034</v>
      </c>
      <c r="F328">
        <v>202112</v>
      </c>
      <c r="G328" t="s">
        <v>2166</v>
      </c>
      <c r="H328">
        <v>14.37</v>
      </c>
    </row>
    <row r="329" spans="1:8">
      <c r="A329">
        <v>5369</v>
      </c>
      <c r="B329" t="s">
        <v>2326</v>
      </c>
      <c r="C329">
        <v>5697</v>
      </c>
      <c r="D329" t="s">
        <v>2199</v>
      </c>
      <c r="E329" t="s">
        <v>2034</v>
      </c>
      <c r="F329">
        <v>202112</v>
      </c>
      <c r="G329" t="s">
        <v>2169</v>
      </c>
      <c r="H329">
        <v>129622.03</v>
      </c>
    </row>
    <row r="330" spans="1:8">
      <c r="A330">
        <v>5369</v>
      </c>
      <c r="B330" t="s">
        <v>2326</v>
      </c>
      <c r="C330">
        <v>5697</v>
      </c>
      <c r="D330" t="s">
        <v>2199</v>
      </c>
      <c r="E330" t="s">
        <v>2034</v>
      </c>
      <c r="F330">
        <v>202112</v>
      </c>
      <c r="G330" t="s">
        <v>190</v>
      </c>
      <c r="H330">
        <v>1076015</v>
      </c>
    </row>
    <row r="331" spans="1:8">
      <c r="A331">
        <v>5369</v>
      </c>
      <c r="B331" t="s">
        <v>2326</v>
      </c>
      <c r="C331">
        <v>5697</v>
      </c>
      <c r="D331" t="s">
        <v>2199</v>
      </c>
      <c r="E331" t="s">
        <v>2034</v>
      </c>
      <c r="F331">
        <v>202112</v>
      </c>
      <c r="G331" t="s">
        <v>191</v>
      </c>
      <c r="H331">
        <v>98408</v>
      </c>
    </row>
    <row r="332" spans="1:8">
      <c r="A332">
        <v>5369</v>
      </c>
      <c r="B332" t="s">
        <v>2326</v>
      </c>
      <c r="C332">
        <v>5697</v>
      </c>
      <c r="D332" t="s">
        <v>2199</v>
      </c>
      <c r="E332" t="s">
        <v>2034</v>
      </c>
      <c r="F332">
        <v>202112</v>
      </c>
      <c r="G332" t="s">
        <v>176</v>
      </c>
      <c r="H332">
        <v>0</v>
      </c>
    </row>
    <row r="333" spans="1:8">
      <c r="A333">
        <v>5369</v>
      </c>
      <c r="B333" t="s">
        <v>2326</v>
      </c>
      <c r="C333">
        <v>5697</v>
      </c>
      <c r="D333" t="s">
        <v>2199</v>
      </c>
      <c r="E333" t="s">
        <v>2034</v>
      </c>
      <c r="F333">
        <v>202112</v>
      </c>
      <c r="G333" t="s">
        <v>178</v>
      </c>
      <c r="H333">
        <v>2992</v>
      </c>
    </row>
    <row r="334" spans="1:8">
      <c r="A334">
        <v>5369</v>
      </c>
      <c r="B334" t="s">
        <v>2326</v>
      </c>
      <c r="C334">
        <v>5697</v>
      </c>
      <c r="D334" t="s">
        <v>2199</v>
      </c>
      <c r="E334" t="s">
        <v>2034</v>
      </c>
      <c r="F334">
        <v>202112</v>
      </c>
      <c r="G334" t="s">
        <v>180</v>
      </c>
      <c r="H334">
        <v>2250</v>
      </c>
    </row>
    <row r="335" spans="1:8">
      <c r="A335">
        <v>5369</v>
      </c>
      <c r="B335" t="s">
        <v>2326</v>
      </c>
      <c r="C335">
        <v>5697</v>
      </c>
      <c r="D335" t="s">
        <v>2199</v>
      </c>
      <c r="E335" t="s">
        <v>2034</v>
      </c>
      <c r="F335">
        <v>202112</v>
      </c>
      <c r="G335" t="s">
        <v>182</v>
      </c>
      <c r="H335">
        <v>1076015</v>
      </c>
    </row>
    <row r="336" spans="1:8">
      <c r="A336">
        <v>5369</v>
      </c>
      <c r="B336" t="s">
        <v>2326</v>
      </c>
      <c r="C336">
        <v>5697</v>
      </c>
      <c r="D336" t="s">
        <v>2199</v>
      </c>
      <c r="E336" t="s">
        <v>2034</v>
      </c>
      <c r="F336">
        <v>202112</v>
      </c>
      <c r="G336" t="s">
        <v>184</v>
      </c>
      <c r="H336">
        <v>98408</v>
      </c>
    </row>
    <row r="337" spans="1:8">
      <c r="A337">
        <v>5369</v>
      </c>
      <c r="B337" t="s">
        <v>2326</v>
      </c>
      <c r="C337">
        <v>5697</v>
      </c>
      <c r="D337" t="s">
        <v>2199</v>
      </c>
      <c r="E337" t="s">
        <v>2034</v>
      </c>
      <c r="F337">
        <v>202112</v>
      </c>
      <c r="G337" t="s">
        <v>192</v>
      </c>
      <c r="H337">
        <v>0</v>
      </c>
    </row>
    <row r="338" spans="1:8">
      <c r="A338">
        <v>5369</v>
      </c>
      <c r="B338" t="s">
        <v>2326</v>
      </c>
      <c r="C338">
        <v>5697</v>
      </c>
      <c r="D338" t="s">
        <v>2199</v>
      </c>
      <c r="E338" t="s">
        <v>2034</v>
      </c>
      <c r="F338">
        <v>202112</v>
      </c>
      <c r="G338" t="s">
        <v>2168</v>
      </c>
      <c r="H338">
        <v>9762.42</v>
      </c>
    </row>
    <row r="339" spans="1:8">
      <c r="A339">
        <v>5369</v>
      </c>
      <c r="B339" t="s">
        <v>2326</v>
      </c>
      <c r="C339">
        <v>5697</v>
      </c>
      <c r="D339" t="s">
        <v>2199</v>
      </c>
      <c r="E339" t="s">
        <v>2034</v>
      </c>
      <c r="F339">
        <v>202112</v>
      </c>
      <c r="G339" t="s">
        <v>186</v>
      </c>
      <c r="H339">
        <v>0</v>
      </c>
    </row>
    <row r="340" spans="1:8">
      <c r="A340">
        <v>5369</v>
      </c>
      <c r="B340" t="s">
        <v>2326</v>
      </c>
      <c r="C340">
        <v>5697</v>
      </c>
      <c r="D340" t="s">
        <v>2199</v>
      </c>
      <c r="E340" t="s">
        <v>2034</v>
      </c>
      <c r="F340">
        <v>202112</v>
      </c>
      <c r="G340" t="s">
        <v>2167</v>
      </c>
      <c r="H340">
        <v>120.75</v>
      </c>
    </row>
    <row r="341" spans="1:8">
      <c r="A341">
        <v>5369</v>
      </c>
      <c r="B341" t="s">
        <v>2326</v>
      </c>
      <c r="C341">
        <v>5697</v>
      </c>
      <c r="D341" t="s">
        <v>2199</v>
      </c>
      <c r="E341" t="s">
        <v>2034</v>
      </c>
      <c r="F341">
        <v>202112</v>
      </c>
      <c r="G341" t="s">
        <v>2164</v>
      </c>
      <c r="H341">
        <v>11.83</v>
      </c>
    </row>
    <row r="342" spans="1:8">
      <c r="A342">
        <v>5369</v>
      </c>
      <c r="B342" t="s">
        <v>2326</v>
      </c>
      <c r="C342">
        <v>5697</v>
      </c>
      <c r="D342" t="s">
        <v>2199</v>
      </c>
      <c r="E342" t="s">
        <v>2034</v>
      </c>
      <c r="F342">
        <v>202112</v>
      </c>
      <c r="G342" t="s">
        <v>2165</v>
      </c>
      <c r="H342">
        <v>21.22</v>
      </c>
    </row>
    <row r="343" spans="1:8">
      <c r="A343">
        <v>5369</v>
      </c>
      <c r="B343" t="s">
        <v>2326</v>
      </c>
      <c r="C343">
        <v>5697</v>
      </c>
      <c r="D343" t="s">
        <v>2199</v>
      </c>
      <c r="E343" t="s">
        <v>2034</v>
      </c>
      <c r="F343">
        <v>202112</v>
      </c>
      <c r="G343" t="s">
        <v>2166</v>
      </c>
      <c r="H343">
        <v>14.37</v>
      </c>
    </row>
    <row r="344" spans="1:8">
      <c r="A344">
        <v>5369</v>
      </c>
      <c r="B344" t="s">
        <v>2326</v>
      </c>
      <c r="C344">
        <v>5697</v>
      </c>
      <c r="D344" t="s">
        <v>2199</v>
      </c>
      <c r="E344" t="s">
        <v>2034</v>
      </c>
      <c r="F344">
        <v>202112</v>
      </c>
      <c r="G344" t="s">
        <v>2169</v>
      </c>
      <c r="H344">
        <v>275199.45</v>
      </c>
    </row>
    <row r="345" spans="1:8">
      <c r="A345">
        <v>5369</v>
      </c>
      <c r="B345" t="s">
        <v>2326</v>
      </c>
      <c r="C345">
        <v>5697</v>
      </c>
      <c r="D345" t="s">
        <v>2199</v>
      </c>
      <c r="E345" t="s">
        <v>2034</v>
      </c>
      <c r="F345">
        <v>202112</v>
      </c>
      <c r="G345" t="s">
        <v>190</v>
      </c>
      <c r="H345">
        <v>2028219</v>
      </c>
    </row>
    <row r="346" spans="1:8">
      <c r="A346">
        <v>5369</v>
      </c>
      <c r="B346" t="s">
        <v>2326</v>
      </c>
      <c r="C346">
        <v>5697</v>
      </c>
      <c r="D346" t="s">
        <v>2199</v>
      </c>
      <c r="E346" t="s">
        <v>2034</v>
      </c>
      <c r="F346">
        <v>202112</v>
      </c>
      <c r="G346" t="s">
        <v>191</v>
      </c>
      <c r="H346">
        <v>121584</v>
      </c>
    </row>
    <row r="347" spans="1:8">
      <c r="A347">
        <v>5369</v>
      </c>
      <c r="B347" t="s">
        <v>2326</v>
      </c>
      <c r="C347">
        <v>5697</v>
      </c>
      <c r="D347" t="s">
        <v>2199</v>
      </c>
      <c r="E347" t="s">
        <v>2034</v>
      </c>
      <c r="F347">
        <v>202112</v>
      </c>
      <c r="G347" t="s">
        <v>176</v>
      </c>
      <c r="H347">
        <v>0</v>
      </c>
    </row>
    <row r="348" spans="1:8">
      <c r="A348">
        <v>5369</v>
      </c>
      <c r="B348" t="s">
        <v>2326</v>
      </c>
      <c r="C348">
        <v>5697</v>
      </c>
      <c r="D348" t="s">
        <v>2199</v>
      </c>
      <c r="E348" t="s">
        <v>2034</v>
      </c>
      <c r="F348">
        <v>202112</v>
      </c>
      <c r="G348" t="s">
        <v>178</v>
      </c>
      <c r="H348">
        <v>6935</v>
      </c>
    </row>
    <row r="349" spans="1:8">
      <c r="A349">
        <v>5369</v>
      </c>
      <c r="B349" t="s">
        <v>2326</v>
      </c>
      <c r="C349">
        <v>5697</v>
      </c>
      <c r="D349" t="s">
        <v>2199</v>
      </c>
      <c r="E349" t="s">
        <v>2034</v>
      </c>
      <c r="F349">
        <v>202112</v>
      </c>
      <c r="G349" t="s">
        <v>180</v>
      </c>
      <c r="H349">
        <v>4000</v>
      </c>
    </row>
    <row r="350" spans="1:8">
      <c r="A350">
        <v>5369</v>
      </c>
      <c r="B350" t="s">
        <v>2326</v>
      </c>
      <c r="C350">
        <v>5697</v>
      </c>
      <c r="D350" t="s">
        <v>2199</v>
      </c>
      <c r="E350" t="s">
        <v>2034</v>
      </c>
      <c r="F350">
        <v>202112</v>
      </c>
      <c r="G350" t="s">
        <v>182</v>
      </c>
      <c r="H350">
        <v>2101802</v>
      </c>
    </row>
    <row r="351" spans="1:8">
      <c r="A351">
        <v>5369</v>
      </c>
      <c r="B351" t="s">
        <v>2326</v>
      </c>
      <c r="C351">
        <v>5697</v>
      </c>
      <c r="D351" t="s">
        <v>2199</v>
      </c>
      <c r="E351" t="s">
        <v>2034</v>
      </c>
      <c r="F351">
        <v>202112</v>
      </c>
      <c r="G351" t="s">
        <v>184</v>
      </c>
      <c r="H351">
        <v>121584</v>
      </c>
    </row>
    <row r="352" spans="1:8">
      <c r="A352">
        <v>5369</v>
      </c>
      <c r="B352" t="s">
        <v>2326</v>
      </c>
      <c r="C352">
        <v>5697</v>
      </c>
      <c r="D352" t="s">
        <v>2199</v>
      </c>
      <c r="E352" t="s">
        <v>2034</v>
      </c>
      <c r="F352">
        <v>202112</v>
      </c>
      <c r="G352" t="s">
        <v>192</v>
      </c>
      <c r="H352">
        <v>0</v>
      </c>
    </row>
    <row r="353" spans="1:8">
      <c r="A353">
        <v>5369</v>
      </c>
      <c r="B353" t="s">
        <v>2326</v>
      </c>
      <c r="C353">
        <v>5697</v>
      </c>
      <c r="D353" t="s">
        <v>2199</v>
      </c>
      <c r="E353" t="s">
        <v>2034</v>
      </c>
      <c r="F353">
        <v>202112</v>
      </c>
      <c r="G353" t="s">
        <v>2168</v>
      </c>
      <c r="H353">
        <v>17812.59</v>
      </c>
    </row>
    <row r="354" spans="1:8">
      <c r="A354">
        <v>5369</v>
      </c>
      <c r="B354" t="s">
        <v>2326</v>
      </c>
      <c r="C354">
        <v>5697</v>
      </c>
      <c r="D354" t="s">
        <v>2199</v>
      </c>
      <c r="E354" t="s">
        <v>2034</v>
      </c>
      <c r="F354">
        <v>202112</v>
      </c>
      <c r="G354" t="s">
        <v>186</v>
      </c>
      <c r="H354">
        <v>73583</v>
      </c>
    </row>
    <row r="355" spans="1:8">
      <c r="A355">
        <v>5369</v>
      </c>
      <c r="B355" t="s">
        <v>2326</v>
      </c>
      <c r="C355">
        <v>5697</v>
      </c>
      <c r="D355" t="s">
        <v>2199</v>
      </c>
      <c r="E355" t="s">
        <v>2034</v>
      </c>
      <c r="F355">
        <v>202112</v>
      </c>
      <c r="G355" t="s">
        <v>2167</v>
      </c>
      <c r="H355">
        <v>120.75</v>
      </c>
    </row>
    <row r="356" spans="1:8">
      <c r="A356">
        <v>5369</v>
      </c>
      <c r="B356" t="s">
        <v>2326</v>
      </c>
      <c r="C356">
        <v>5697</v>
      </c>
      <c r="D356" t="s">
        <v>2199</v>
      </c>
      <c r="E356" t="s">
        <v>2034</v>
      </c>
      <c r="F356">
        <v>202112</v>
      </c>
      <c r="G356" t="s">
        <v>2164</v>
      </c>
      <c r="H356">
        <v>11.83</v>
      </c>
    </row>
    <row r="357" spans="1:8">
      <c r="A357">
        <v>5369</v>
      </c>
      <c r="B357" t="s">
        <v>2326</v>
      </c>
      <c r="C357">
        <v>5697</v>
      </c>
      <c r="D357" t="s">
        <v>2199</v>
      </c>
      <c r="E357" t="s">
        <v>2034</v>
      </c>
      <c r="F357">
        <v>202112</v>
      </c>
      <c r="G357" t="s">
        <v>2165</v>
      </c>
      <c r="H357">
        <v>21.22</v>
      </c>
    </row>
    <row r="358" spans="1:8">
      <c r="A358">
        <v>5369</v>
      </c>
      <c r="B358" t="s">
        <v>2326</v>
      </c>
      <c r="C358">
        <v>5697</v>
      </c>
      <c r="D358" t="s">
        <v>2199</v>
      </c>
      <c r="E358" t="s">
        <v>2034</v>
      </c>
      <c r="F358">
        <v>202112</v>
      </c>
      <c r="G358" t="s">
        <v>2166</v>
      </c>
      <c r="H358">
        <v>14.37</v>
      </c>
    </row>
    <row r="359" spans="1:8">
      <c r="A359">
        <v>5369</v>
      </c>
      <c r="B359" t="s">
        <v>2326</v>
      </c>
      <c r="C359">
        <v>5697</v>
      </c>
      <c r="D359" t="s">
        <v>2199</v>
      </c>
      <c r="E359" t="s">
        <v>2034</v>
      </c>
      <c r="F359">
        <v>202112</v>
      </c>
      <c r="G359" t="s">
        <v>2169</v>
      </c>
      <c r="H359">
        <v>476272.86</v>
      </c>
    </row>
    <row r="360" spans="1:8">
      <c r="A360">
        <v>5369</v>
      </c>
      <c r="B360" t="s">
        <v>2326</v>
      </c>
      <c r="C360">
        <v>5697</v>
      </c>
      <c r="D360" t="s">
        <v>2199</v>
      </c>
      <c r="E360" t="s">
        <v>2034</v>
      </c>
      <c r="F360">
        <v>202201</v>
      </c>
      <c r="G360" t="s">
        <v>190</v>
      </c>
      <c r="H360">
        <v>1876185</v>
      </c>
    </row>
    <row r="361" spans="1:8">
      <c r="A361">
        <v>5369</v>
      </c>
      <c r="B361" t="s">
        <v>2326</v>
      </c>
      <c r="C361">
        <v>5697</v>
      </c>
      <c r="D361" t="s">
        <v>2199</v>
      </c>
      <c r="E361" t="s">
        <v>2034</v>
      </c>
      <c r="F361">
        <v>202201</v>
      </c>
      <c r="G361" t="s">
        <v>191</v>
      </c>
      <c r="H361">
        <v>125653</v>
      </c>
    </row>
    <row r="362" spans="1:8">
      <c r="A362">
        <v>5369</v>
      </c>
      <c r="B362" t="s">
        <v>2326</v>
      </c>
      <c r="C362">
        <v>5697</v>
      </c>
      <c r="D362" t="s">
        <v>2199</v>
      </c>
      <c r="E362" t="s">
        <v>2034</v>
      </c>
      <c r="F362">
        <v>202201</v>
      </c>
      <c r="G362" t="s">
        <v>176</v>
      </c>
      <c r="H362">
        <v>0</v>
      </c>
    </row>
    <row r="363" spans="1:8">
      <c r="A363">
        <v>5369</v>
      </c>
      <c r="B363" t="s">
        <v>2326</v>
      </c>
      <c r="C363">
        <v>5697</v>
      </c>
      <c r="D363" t="s">
        <v>2199</v>
      </c>
      <c r="E363" t="s">
        <v>2034</v>
      </c>
      <c r="F363">
        <v>202201</v>
      </c>
      <c r="G363" t="s">
        <v>178</v>
      </c>
      <c r="H363">
        <v>6424</v>
      </c>
    </row>
    <row r="364" spans="1:8">
      <c r="A364">
        <v>5369</v>
      </c>
      <c r="B364" t="s">
        <v>2326</v>
      </c>
      <c r="C364">
        <v>5697</v>
      </c>
      <c r="D364" t="s">
        <v>2199</v>
      </c>
      <c r="E364" t="s">
        <v>2034</v>
      </c>
      <c r="F364">
        <v>202201</v>
      </c>
      <c r="G364" t="s">
        <v>180</v>
      </c>
      <c r="H364">
        <v>4000</v>
      </c>
    </row>
    <row r="365" spans="1:8">
      <c r="A365">
        <v>5369</v>
      </c>
      <c r="B365" t="s">
        <v>2326</v>
      </c>
      <c r="C365">
        <v>5697</v>
      </c>
      <c r="D365" t="s">
        <v>2199</v>
      </c>
      <c r="E365" t="s">
        <v>2034</v>
      </c>
      <c r="F365">
        <v>202201</v>
      </c>
      <c r="G365" t="s">
        <v>182</v>
      </c>
      <c r="H365">
        <v>1943282</v>
      </c>
    </row>
    <row r="366" spans="1:8">
      <c r="A366">
        <v>5369</v>
      </c>
      <c r="B366" t="s">
        <v>2326</v>
      </c>
      <c r="C366">
        <v>5697</v>
      </c>
      <c r="D366" t="s">
        <v>2199</v>
      </c>
      <c r="E366" t="s">
        <v>2034</v>
      </c>
      <c r="F366">
        <v>202201</v>
      </c>
      <c r="G366" t="s">
        <v>184</v>
      </c>
      <c r="H366">
        <v>125653</v>
      </c>
    </row>
    <row r="367" spans="1:8">
      <c r="A367">
        <v>5369</v>
      </c>
      <c r="B367" t="s">
        <v>2326</v>
      </c>
      <c r="C367">
        <v>5697</v>
      </c>
      <c r="D367" t="s">
        <v>2199</v>
      </c>
      <c r="E367" t="s">
        <v>2034</v>
      </c>
      <c r="F367">
        <v>202201</v>
      </c>
      <c r="G367" t="s">
        <v>192</v>
      </c>
      <c r="H367">
        <v>0</v>
      </c>
    </row>
    <row r="368" spans="1:8">
      <c r="A368">
        <v>5369</v>
      </c>
      <c r="B368" t="s">
        <v>2326</v>
      </c>
      <c r="C368">
        <v>5697</v>
      </c>
      <c r="D368" t="s">
        <v>2199</v>
      </c>
      <c r="E368" t="s">
        <v>2034</v>
      </c>
      <c r="F368">
        <v>202201</v>
      </c>
      <c r="G368" t="s">
        <v>2168</v>
      </c>
      <c r="H368">
        <v>16797.45</v>
      </c>
    </row>
    <row r="369" spans="1:8">
      <c r="A369">
        <v>5369</v>
      </c>
      <c r="B369" t="s">
        <v>2326</v>
      </c>
      <c r="C369">
        <v>5697</v>
      </c>
      <c r="D369" t="s">
        <v>2199</v>
      </c>
      <c r="E369" t="s">
        <v>2034</v>
      </c>
      <c r="F369">
        <v>202201</v>
      </c>
      <c r="G369" t="s">
        <v>186</v>
      </c>
      <c r="H369">
        <v>67097</v>
      </c>
    </row>
    <row r="370" spans="1:8">
      <c r="A370">
        <v>5369</v>
      </c>
      <c r="B370" t="s">
        <v>2326</v>
      </c>
      <c r="C370">
        <v>5697</v>
      </c>
      <c r="D370" t="s">
        <v>2199</v>
      </c>
      <c r="E370" t="s">
        <v>2034</v>
      </c>
      <c r="F370">
        <v>202201</v>
      </c>
      <c r="G370" t="s">
        <v>2167</v>
      </c>
      <c r="H370">
        <v>120.75</v>
      </c>
    </row>
    <row r="371" spans="1:8">
      <c r="A371">
        <v>5369</v>
      </c>
      <c r="B371" t="s">
        <v>2326</v>
      </c>
      <c r="C371">
        <v>5697</v>
      </c>
      <c r="D371" t="s">
        <v>2199</v>
      </c>
      <c r="E371" t="s">
        <v>2034</v>
      </c>
      <c r="F371">
        <v>202201</v>
      </c>
      <c r="G371" t="s">
        <v>2164</v>
      </c>
      <c r="H371">
        <v>11.83</v>
      </c>
    </row>
    <row r="372" spans="1:8">
      <c r="A372">
        <v>5369</v>
      </c>
      <c r="B372" t="s">
        <v>2326</v>
      </c>
      <c r="C372">
        <v>5697</v>
      </c>
      <c r="D372" t="s">
        <v>2199</v>
      </c>
      <c r="E372" t="s">
        <v>2034</v>
      </c>
      <c r="F372">
        <v>202201</v>
      </c>
      <c r="G372" t="s">
        <v>2165</v>
      </c>
      <c r="H372">
        <v>21.22</v>
      </c>
    </row>
    <row r="373" spans="1:8">
      <c r="A373">
        <v>5369</v>
      </c>
      <c r="B373" t="s">
        <v>2326</v>
      </c>
      <c r="C373">
        <v>5697</v>
      </c>
      <c r="D373" t="s">
        <v>2199</v>
      </c>
      <c r="E373" t="s">
        <v>2034</v>
      </c>
      <c r="F373">
        <v>202201</v>
      </c>
      <c r="G373" t="s">
        <v>2166</v>
      </c>
      <c r="H373">
        <v>14.37</v>
      </c>
    </row>
    <row r="374" spans="1:8">
      <c r="A374">
        <v>5369</v>
      </c>
      <c r="B374" t="s">
        <v>2326</v>
      </c>
      <c r="C374">
        <v>5697</v>
      </c>
      <c r="D374" t="s">
        <v>2199</v>
      </c>
      <c r="E374" t="s">
        <v>2034</v>
      </c>
      <c r="F374">
        <v>202201</v>
      </c>
      <c r="G374" t="s">
        <v>2169</v>
      </c>
      <c r="H374">
        <v>449129.66</v>
      </c>
    </row>
    <row r="375" spans="1:8">
      <c r="A375">
        <v>5369</v>
      </c>
      <c r="B375" t="s">
        <v>2326</v>
      </c>
      <c r="C375">
        <v>5697</v>
      </c>
      <c r="D375" t="s">
        <v>2199</v>
      </c>
      <c r="E375" t="s">
        <v>2034</v>
      </c>
      <c r="F375">
        <v>202201</v>
      </c>
      <c r="G375" t="s">
        <v>190</v>
      </c>
      <c r="H375">
        <v>951769</v>
      </c>
    </row>
    <row r="376" spans="1:8">
      <c r="A376">
        <v>5369</v>
      </c>
      <c r="B376" t="s">
        <v>2326</v>
      </c>
      <c r="C376">
        <v>5697</v>
      </c>
      <c r="D376" t="s">
        <v>2199</v>
      </c>
      <c r="E376" t="s">
        <v>2034</v>
      </c>
      <c r="F376">
        <v>202201</v>
      </c>
      <c r="G376" t="s">
        <v>191</v>
      </c>
      <c r="H376">
        <v>107630</v>
      </c>
    </row>
    <row r="377" spans="1:8">
      <c r="A377">
        <v>5369</v>
      </c>
      <c r="B377" t="s">
        <v>2326</v>
      </c>
      <c r="C377">
        <v>5697</v>
      </c>
      <c r="D377" t="s">
        <v>2199</v>
      </c>
      <c r="E377" t="s">
        <v>2034</v>
      </c>
      <c r="F377">
        <v>202201</v>
      </c>
      <c r="G377" t="s">
        <v>176</v>
      </c>
      <c r="H377">
        <v>0</v>
      </c>
    </row>
    <row r="378" spans="1:8">
      <c r="A378">
        <v>5369</v>
      </c>
      <c r="B378" t="s">
        <v>2326</v>
      </c>
      <c r="C378">
        <v>5697</v>
      </c>
      <c r="D378" t="s">
        <v>2199</v>
      </c>
      <c r="E378" t="s">
        <v>2034</v>
      </c>
      <c r="F378">
        <v>202201</v>
      </c>
      <c r="G378" t="s">
        <v>178</v>
      </c>
      <c r="H378">
        <v>3016</v>
      </c>
    </row>
    <row r="379" spans="1:8">
      <c r="A379">
        <v>5369</v>
      </c>
      <c r="B379" t="s">
        <v>2326</v>
      </c>
      <c r="C379">
        <v>5697</v>
      </c>
      <c r="D379" t="s">
        <v>2199</v>
      </c>
      <c r="E379" t="s">
        <v>2034</v>
      </c>
      <c r="F379">
        <v>202201</v>
      </c>
      <c r="G379" t="s">
        <v>180</v>
      </c>
      <c r="H379">
        <v>2250</v>
      </c>
    </row>
    <row r="380" spans="1:8">
      <c r="A380">
        <v>5369</v>
      </c>
      <c r="B380" t="s">
        <v>2326</v>
      </c>
      <c r="C380">
        <v>5697</v>
      </c>
      <c r="D380" t="s">
        <v>2199</v>
      </c>
      <c r="E380" t="s">
        <v>2034</v>
      </c>
      <c r="F380">
        <v>202201</v>
      </c>
      <c r="G380" t="s">
        <v>182</v>
      </c>
      <c r="H380">
        <v>951769</v>
      </c>
    </row>
    <row r="381" spans="1:8">
      <c r="A381">
        <v>5369</v>
      </c>
      <c r="B381" t="s">
        <v>2326</v>
      </c>
      <c r="C381">
        <v>5697</v>
      </c>
      <c r="D381" t="s">
        <v>2199</v>
      </c>
      <c r="E381" t="s">
        <v>2034</v>
      </c>
      <c r="F381">
        <v>202201</v>
      </c>
      <c r="G381" t="s">
        <v>184</v>
      </c>
      <c r="H381">
        <v>107630</v>
      </c>
    </row>
    <row r="382" spans="1:8">
      <c r="A382">
        <v>5369</v>
      </c>
      <c r="B382" t="s">
        <v>2326</v>
      </c>
      <c r="C382">
        <v>5697</v>
      </c>
      <c r="D382" t="s">
        <v>2199</v>
      </c>
      <c r="E382" t="s">
        <v>2034</v>
      </c>
      <c r="F382">
        <v>202201</v>
      </c>
      <c r="G382" t="s">
        <v>192</v>
      </c>
      <c r="H382">
        <v>0</v>
      </c>
    </row>
    <row r="383" spans="1:8">
      <c r="A383">
        <v>5369</v>
      </c>
      <c r="B383" t="s">
        <v>2326</v>
      </c>
      <c r="C383">
        <v>5697</v>
      </c>
      <c r="D383" t="s">
        <v>2199</v>
      </c>
      <c r="E383" t="s">
        <v>2034</v>
      </c>
      <c r="F383">
        <v>202201</v>
      </c>
      <c r="G383" t="s">
        <v>2168</v>
      </c>
      <c r="H383">
        <v>9192.19</v>
      </c>
    </row>
    <row r="384" spans="1:8">
      <c r="A384">
        <v>5369</v>
      </c>
      <c r="B384" t="s">
        <v>2326</v>
      </c>
      <c r="C384">
        <v>5697</v>
      </c>
      <c r="D384" t="s">
        <v>2199</v>
      </c>
      <c r="E384" t="s">
        <v>2034</v>
      </c>
      <c r="F384">
        <v>202201</v>
      </c>
      <c r="G384" t="s">
        <v>186</v>
      </c>
      <c r="H384">
        <v>0</v>
      </c>
    </row>
    <row r="385" spans="1:8">
      <c r="A385">
        <v>5369</v>
      </c>
      <c r="B385" t="s">
        <v>2326</v>
      </c>
      <c r="C385">
        <v>5697</v>
      </c>
      <c r="D385" t="s">
        <v>2199</v>
      </c>
      <c r="E385" t="s">
        <v>2034</v>
      </c>
      <c r="F385">
        <v>202201</v>
      </c>
      <c r="G385" t="s">
        <v>2167</v>
      </c>
      <c r="H385">
        <v>120.75</v>
      </c>
    </row>
    <row r="386" spans="1:8">
      <c r="A386">
        <v>5369</v>
      </c>
      <c r="B386" t="s">
        <v>2326</v>
      </c>
      <c r="C386">
        <v>5697</v>
      </c>
      <c r="D386" t="s">
        <v>2199</v>
      </c>
      <c r="E386" t="s">
        <v>2034</v>
      </c>
      <c r="F386">
        <v>202201</v>
      </c>
      <c r="G386" t="s">
        <v>2164</v>
      </c>
      <c r="H386">
        <v>11.83</v>
      </c>
    </row>
    <row r="387" spans="1:8">
      <c r="A387">
        <v>5369</v>
      </c>
      <c r="B387" t="s">
        <v>2326</v>
      </c>
      <c r="C387">
        <v>5697</v>
      </c>
      <c r="D387" t="s">
        <v>2199</v>
      </c>
      <c r="E387" t="s">
        <v>2034</v>
      </c>
      <c r="F387">
        <v>202201</v>
      </c>
      <c r="G387" t="s">
        <v>2165</v>
      </c>
      <c r="H387">
        <v>21.22</v>
      </c>
    </row>
    <row r="388" spans="1:8">
      <c r="A388">
        <v>5369</v>
      </c>
      <c r="B388" t="s">
        <v>2326</v>
      </c>
      <c r="C388">
        <v>5697</v>
      </c>
      <c r="D388" t="s">
        <v>2199</v>
      </c>
      <c r="E388" t="s">
        <v>2034</v>
      </c>
      <c r="F388">
        <v>202201</v>
      </c>
      <c r="G388" t="s">
        <v>2166</v>
      </c>
      <c r="H388">
        <v>14.37</v>
      </c>
    </row>
    <row r="389" spans="1:8">
      <c r="A389">
        <v>5369</v>
      </c>
      <c r="B389" t="s">
        <v>2326</v>
      </c>
      <c r="C389">
        <v>5697</v>
      </c>
      <c r="D389" t="s">
        <v>2199</v>
      </c>
      <c r="E389" t="s">
        <v>2034</v>
      </c>
      <c r="F389">
        <v>202201</v>
      </c>
      <c r="G389" t="s">
        <v>2169</v>
      </c>
      <c r="H389">
        <v>245780.13</v>
      </c>
    </row>
    <row r="390" spans="1:8">
      <c r="A390">
        <v>5369</v>
      </c>
      <c r="B390" t="s">
        <v>2326</v>
      </c>
      <c r="C390">
        <v>5697</v>
      </c>
      <c r="D390" t="s">
        <v>2199</v>
      </c>
      <c r="E390" t="s">
        <v>2034</v>
      </c>
      <c r="F390">
        <v>202201</v>
      </c>
      <c r="G390" t="s">
        <v>190</v>
      </c>
      <c r="H390">
        <v>683321</v>
      </c>
    </row>
    <row r="391" spans="1:8">
      <c r="A391">
        <v>5369</v>
      </c>
      <c r="B391" t="s">
        <v>2326</v>
      </c>
      <c r="C391">
        <v>5697</v>
      </c>
      <c r="D391" t="s">
        <v>2199</v>
      </c>
      <c r="E391" t="s">
        <v>2034</v>
      </c>
      <c r="F391">
        <v>202201</v>
      </c>
      <c r="G391" t="s">
        <v>191</v>
      </c>
      <c r="H391">
        <v>51368</v>
      </c>
    </row>
    <row r="392" spans="1:8">
      <c r="A392">
        <v>5369</v>
      </c>
      <c r="B392" t="s">
        <v>2326</v>
      </c>
      <c r="C392">
        <v>5697</v>
      </c>
      <c r="D392" t="s">
        <v>2199</v>
      </c>
      <c r="E392" t="s">
        <v>2034</v>
      </c>
      <c r="F392">
        <v>202201</v>
      </c>
      <c r="G392" t="s">
        <v>176</v>
      </c>
      <c r="H392">
        <v>0</v>
      </c>
    </row>
    <row r="393" spans="1:8">
      <c r="A393">
        <v>5369</v>
      </c>
      <c r="B393" t="s">
        <v>2326</v>
      </c>
      <c r="C393">
        <v>5697</v>
      </c>
      <c r="D393" t="s">
        <v>2199</v>
      </c>
      <c r="E393" t="s">
        <v>2034</v>
      </c>
      <c r="F393">
        <v>202201</v>
      </c>
      <c r="G393" t="s">
        <v>178</v>
      </c>
      <c r="H393">
        <v>2460</v>
      </c>
    </row>
    <row r="394" spans="1:8">
      <c r="A394">
        <v>5369</v>
      </c>
      <c r="B394" t="s">
        <v>2326</v>
      </c>
      <c r="C394">
        <v>5697</v>
      </c>
      <c r="D394" t="s">
        <v>2199</v>
      </c>
      <c r="E394" t="s">
        <v>2034</v>
      </c>
      <c r="F394">
        <v>202201</v>
      </c>
      <c r="G394" t="s">
        <v>180</v>
      </c>
      <c r="H394">
        <v>1550</v>
      </c>
    </row>
    <row r="395" spans="1:8">
      <c r="A395">
        <v>5369</v>
      </c>
      <c r="B395" t="s">
        <v>2326</v>
      </c>
      <c r="C395">
        <v>5697</v>
      </c>
      <c r="D395" t="s">
        <v>2199</v>
      </c>
      <c r="E395" t="s">
        <v>2034</v>
      </c>
      <c r="F395">
        <v>202201</v>
      </c>
      <c r="G395" t="s">
        <v>182</v>
      </c>
      <c r="H395">
        <v>683321</v>
      </c>
    </row>
    <row r="396" spans="1:8">
      <c r="A396">
        <v>5369</v>
      </c>
      <c r="B396" t="s">
        <v>2326</v>
      </c>
      <c r="C396">
        <v>5697</v>
      </c>
      <c r="D396" t="s">
        <v>2199</v>
      </c>
      <c r="E396" t="s">
        <v>2034</v>
      </c>
      <c r="F396">
        <v>202201</v>
      </c>
      <c r="G396" t="s">
        <v>184</v>
      </c>
      <c r="H396">
        <v>51368</v>
      </c>
    </row>
    <row r="397" spans="1:8">
      <c r="A397">
        <v>5369</v>
      </c>
      <c r="B397" t="s">
        <v>2326</v>
      </c>
      <c r="C397">
        <v>5697</v>
      </c>
      <c r="D397" t="s">
        <v>2199</v>
      </c>
      <c r="E397" t="s">
        <v>2034</v>
      </c>
      <c r="F397">
        <v>202201</v>
      </c>
      <c r="G397" t="s">
        <v>192</v>
      </c>
      <c r="H397">
        <v>0</v>
      </c>
    </row>
    <row r="398" spans="1:8">
      <c r="A398">
        <v>5369</v>
      </c>
      <c r="B398" t="s">
        <v>2326</v>
      </c>
      <c r="C398">
        <v>5697</v>
      </c>
      <c r="D398" t="s">
        <v>2199</v>
      </c>
      <c r="E398" t="s">
        <v>2034</v>
      </c>
      <c r="F398">
        <v>202201</v>
      </c>
      <c r="G398" t="s">
        <v>2168</v>
      </c>
      <c r="H398">
        <v>4365.8100000000004</v>
      </c>
    </row>
    <row r="399" spans="1:8">
      <c r="A399">
        <v>5369</v>
      </c>
      <c r="B399" t="s">
        <v>2326</v>
      </c>
      <c r="C399">
        <v>5697</v>
      </c>
      <c r="D399" t="s">
        <v>2199</v>
      </c>
      <c r="E399" t="s">
        <v>2034</v>
      </c>
      <c r="F399">
        <v>202201</v>
      </c>
      <c r="G399" t="s">
        <v>186</v>
      </c>
      <c r="H399">
        <v>0</v>
      </c>
    </row>
    <row r="400" spans="1:8">
      <c r="A400">
        <v>5369</v>
      </c>
      <c r="B400" t="s">
        <v>2326</v>
      </c>
      <c r="C400">
        <v>5697</v>
      </c>
      <c r="D400" t="s">
        <v>2199</v>
      </c>
      <c r="E400" t="s">
        <v>2034</v>
      </c>
      <c r="F400">
        <v>202201</v>
      </c>
      <c r="G400" t="s">
        <v>2167</v>
      </c>
      <c r="H400">
        <v>120.75</v>
      </c>
    </row>
    <row r="401" spans="1:8">
      <c r="A401">
        <v>5369</v>
      </c>
      <c r="B401" t="s">
        <v>2326</v>
      </c>
      <c r="C401">
        <v>5697</v>
      </c>
      <c r="D401" t="s">
        <v>2199</v>
      </c>
      <c r="E401" t="s">
        <v>2034</v>
      </c>
      <c r="F401">
        <v>202201</v>
      </c>
      <c r="G401" t="s">
        <v>2164</v>
      </c>
      <c r="H401">
        <v>11.83</v>
      </c>
    </row>
    <row r="402" spans="1:8">
      <c r="A402">
        <v>5369</v>
      </c>
      <c r="B402" t="s">
        <v>2326</v>
      </c>
      <c r="C402">
        <v>5697</v>
      </c>
      <c r="D402" t="s">
        <v>2199</v>
      </c>
      <c r="E402" t="s">
        <v>2034</v>
      </c>
      <c r="F402">
        <v>202201</v>
      </c>
      <c r="G402" t="s">
        <v>2165</v>
      </c>
      <c r="H402">
        <v>21.22</v>
      </c>
    </row>
    <row r="403" spans="1:8">
      <c r="A403">
        <v>5369</v>
      </c>
      <c r="B403" t="s">
        <v>2326</v>
      </c>
      <c r="C403">
        <v>5697</v>
      </c>
      <c r="D403" t="s">
        <v>2199</v>
      </c>
      <c r="E403" t="s">
        <v>2034</v>
      </c>
      <c r="F403">
        <v>202201</v>
      </c>
      <c r="G403" t="s">
        <v>2166</v>
      </c>
      <c r="H403">
        <v>14.37</v>
      </c>
    </row>
    <row r="404" spans="1:8">
      <c r="A404">
        <v>5369</v>
      </c>
      <c r="B404" t="s">
        <v>2326</v>
      </c>
      <c r="C404">
        <v>5697</v>
      </c>
      <c r="D404" t="s">
        <v>2199</v>
      </c>
      <c r="E404" t="s">
        <v>2034</v>
      </c>
      <c r="F404">
        <v>202201</v>
      </c>
      <c r="G404" t="s">
        <v>2169</v>
      </c>
      <c r="H404">
        <v>116732.25</v>
      </c>
    </row>
    <row r="405" spans="1:8">
      <c r="A405">
        <v>5369</v>
      </c>
      <c r="B405" t="s">
        <v>2326</v>
      </c>
      <c r="C405">
        <v>5697</v>
      </c>
      <c r="D405" t="s">
        <v>2199</v>
      </c>
      <c r="E405" t="s">
        <v>2034</v>
      </c>
      <c r="F405">
        <v>202202</v>
      </c>
      <c r="G405" t="s">
        <v>190</v>
      </c>
      <c r="H405">
        <v>1140642</v>
      </c>
    </row>
    <row r="406" spans="1:8">
      <c r="A406">
        <v>5369</v>
      </c>
      <c r="B406" t="s">
        <v>2326</v>
      </c>
      <c r="C406">
        <v>5697</v>
      </c>
      <c r="D406" t="s">
        <v>2199</v>
      </c>
      <c r="E406" t="s">
        <v>2034</v>
      </c>
      <c r="F406">
        <v>202202</v>
      </c>
      <c r="G406" t="s">
        <v>191</v>
      </c>
      <c r="H406">
        <v>109274</v>
      </c>
    </row>
    <row r="407" spans="1:8">
      <c r="A407">
        <v>5369</v>
      </c>
      <c r="B407" t="s">
        <v>2326</v>
      </c>
      <c r="C407">
        <v>5697</v>
      </c>
      <c r="D407" t="s">
        <v>2199</v>
      </c>
      <c r="E407" t="s">
        <v>2034</v>
      </c>
      <c r="F407">
        <v>202202</v>
      </c>
      <c r="G407" t="s">
        <v>176</v>
      </c>
      <c r="H407">
        <v>0</v>
      </c>
    </row>
    <row r="408" spans="1:8">
      <c r="A408">
        <v>5369</v>
      </c>
      <c r="B408" t="s">
        <v>2326</v>
      </c>
      <c r="C408">
        <v>5697</v>
      </c>
      <c r="D408" t="s">
        <v>2199</v>
      </c>
      <c r="E408" t="s">
        <v>2034</v>
      </c>
      <c r="F408">
        <v>202202</v>
      </c>
      <c r="G408" t="s">
        <v>178</v>
      </c>
      <c r="H408">
        <v>3212</v>
      </c>
    </row>
    <row r="409" spans="1:8">
      <c r="A409">
        <v>5369</v>
      </c>
      <c r="B409" t="s">
        <v>2326</v>
      </c>
      <c r="C409">
        <v>5697</v>
      </c>
      <c r="D409" t="s">
        <v>2199</v>
      </c>
      <c r="E409" t="s">
        <v>2034</v>
      </c>
      <c r="F409">
        <v>202202</v>
      </c>
      <c r="G409" t="s">
        <v>180</v>
      </c>
      <c r="H409">
        <v>2330</v>
      </c>
    </row>
    <row r="410" spans="1:8">
      <c r="A410">
        <v>5369</v>
      </c>
      <c r="B410" t="s">
        <v>2326</v>
      </c>
      <c r="C410">
        <v>5697</v>
      </c>
      <c r="D410" t="s">
        <v>2199</v>
      </c>
      <c r="E410" t="s">
        <v>2034</v>
      </c>
      <c r="F410">
        <v>202202</v>
      </c>
      <c r="G410" t="s">
        <v>182</v>
      </c>
      <c r="H410">
        <v>1140642</v>
      </c>
    </row>
    <row r="411" spans="1:8">
      <c r="A411">
        <v>5369</v>
      </c>
      <c r="B411" t="s">
        <v>2326</v>
      </c>
      <c r="C411">
        <v>5697</v>
      </c>
      <c r="D411" t="s">
        <v>2199</v>
      </c>
      <c r="E411" t="s">
        <v>2034</v>
      </c>
      <c r="F411">
        <v>202202</v>
      </c>
      <c r="G411" t="s">
        <v>184</v>
      </c>
      <c r="H411">
        <v>109274</v>
      </c>
    </row>
    <row r="412" spans="1:8">
      <c r="A412">
        <v>5369</v>
      </c>
      <c r="B412" t="s">
        <v>2326</v>
      </c>
      <c r="C412">
        <v>5697</v>
      </c>
      <c r="D412" t="s">
        <v>2199</v>
      </c>
      <c r="E412" t="s">
        <v>2034</v>
      </c>
      <c r="F412">
        <v>202202</v>
      </c>
      <c r="G412" t="s">
        <v>192</v>
      </c>
      <c r="H412">
        <v>0</v>
      </c>
    </row>
    <row r="413" spans="1:8">
      <c r="A413">
        <v>5369</v>
      </c>
      <c r="B413" t="s">
        <v>2326</v>
      </c>
      <c r="C413">
        <v>5697</v>
      </c>
      <c r="D413" t="s">
        <v>2199</v>
      </c>
      <c r="E413" t="s">
        <v>2034</v>
      </c>
      <c r="F413">
        <v>202202</v>
      </c>
      <c r="G413" t="s">
        <v>2168</v>
      </c>
      <c r="H413">
        <v>13454.29</v>
      </c>
    </row>
    <row r="414" spans="1:8">
      <c r="A414">
        <v>5369</v>
      </c>
      <c r="B414" t="s">
        <v>2326</v>
      </c>
      <c r="C414">
        <v>5697</v>
      </c>
      <c r="D414" t="s">
        <v>2199</v>
      </c>
      <c r="E414" t="s">
        <v>2034</v>
      </c>
      <c r="F414">
        <v>202202</v>
      </c>
      <c r="G414" t="s">
        <v>186</v>
      </c>
      <c r="H414">
        <v>0</v>
      </c>
    </row>
    <row r="415" spans="1:8">
      <c r="A415">
        <v>5369</v>
      </c>
      <c r="B415" t="s">
        <v>2326</v>
      </c>
      <c r="C415">
        <v>5697</v>
      </c>
      <c r="D415" t="s">
        <v>2199</v>
      </c>
      <c r="E415" t="s">
        <v>2034</v>
      </c>
      <c r="F415">
        <v>202202</v>
      </c>
      <c r="G415" t="s">
        <v>2167</v>
      </c>
      <c r="H415">
        <v>120.75</v>
      </c>
    </row>
    <row r="416" spans="1:8">
      <c r="A416">
        <v>5369</v>
      </c>
      <c r="B416" t="s">
        <v>2326</v>
      </c>
      <c r="C416">
        <v>5697</v>
      </c>
      <c r="D416" t="s">
        <v>2199</v>
      </c>
      <c r="E416" t="s">
        <v>2034</v>
      </c>
      <c r="F416">
        <v>202202</v>
      </c>
      <c r="G416" t="s">
        <v>2164</v>
      </c>
      <c r="H416">
        <v>11.83</v>
      </c>
    </row>
    <row r="417" spans="1:8">
      <c r="A417">
        <v>5369</v>
      </c>
      <c r="B417" t="s">
        <v>2326</v>
      </c>
      <c r="C417">
        <v>5697</v>
      </c>
      <c r="D417" t="s">
        <v>2199</v>
      </c>
      <c r="E417" t="s">
        <v>2034</v>
      </c>
      <c r="F417">
        <v>202202</v>
      </c>
      <c r="G417" t="s">
        <v>2165</v>
      </c>
      <c r="H417">
        <v>21.22</v>
      </c>
    </row>
    <row r="418" spans="1:8">
      <c r="A418">
        <v>5369</v>
      </c>
      <c r="B418" t="s">
        <v>2326</v>
      </c>
      <c r="C418">
        <v>5697</v>
      </c>
      <c r="D418" t="s">
        <v>2199</v>
      </c>
      <c r="E418" t="s">
        <v>2034</v>
      </c>
      <c r="F418">
        <v>202202</v>
      </c>
      <c r="G418" t="s">
        <v>2166</v>
      </c>
      <c r="H418">
        <v>14.37</v>
      </c>
    </row>
    <row r="419" spans="1:8">
      <c r="A419">
        <v>5369</v>
      </c>
      <c r="B419" t="s">
        <v>2326</v>
      </c>
      <c r="C419">
        <v>5697</v>
      </c>
      <c r="D419" t="s">
        <v>2199</v>
      </c>
      <c r="E419" t="s">
        <v>2034</v>
      </c>
      <c r="F419">
        <v>202202</v>
      </c>
      <c r="G419" t="s">
        <v>2169</v>
      </c>
      <c r="H419">
        <v>284445.61</v>
      </c>
    </row>
    <row r="420" spans="1:8">
      <c r="A420">
        <v>5369</v>
      </c>
      <c r="B420" t="s">
        <v>2326</v>
      </c>
      <c r="C420">
        <v>5697</v>
      </c>
      <c r="D420" t="s">
        <v>2199</v>
      </c>
      <c r="E420" t="s">
        <v>2034</v>
      </c>
      <c r="F420">
        <v>202202</v>
      </c>
      <c r="G420" t="s">
        <v>190</v>
      </c>
      <c r="H420">
        <v>739795</v>
      </c>
    </row>
    <row r="421" spans="1:8">
      <c r="A421">
        <v>5369</v>
      </c>
      <c r="B421" t="s">
        <v>2326</v>
      </c>
      <c r="C421">
        <v>5697</v>
      </c>
      <c r="D421" t="s">
        <v>2199</v>
      </c>
      <c r="E421" t="s">
        <v>2034</v>
      </c>
      <c r="F421">
        <v>202202</v>
      </c>
      <c r="G421" t="s">
        <v>191</v>
      </c>
      <c r="H421">
        <v>52047</v>
      </c>
    </row>
    <row r="422" spans="1:8">
      <c r="A422">
        <v>5369</v>
      </c>
      <c r="B422" t="s">
        <v>2326</v>
      </c>
      <c r="C422">
        <v>5697</v>
      </c>
      <c r="D422" t="s">
        <v>2199</v>
      </c>
      <c r="E422" t="s">
        <v>2034</v>
      </c>
      <c r="F422">
        <v>202202</v>
      </c>
      <c r="G422" t="s">
        <v>176</v>
      </c>
      <c r="H422">
        <v>0</v>
      </c>
    </row>
    <row r="423" spans="1:8">
      <c r="A423">
        <v>5369</v>
      </c>
      <c r="B423" t="s">
        <v>2326</v>
      </c>
      <c r="C423">
        <v>5697</v>
      </c>
      <c r="D423" t="s">
        <v>2199</v>
      </c>
      <c r="E423" t="s">
        <v>2034</v>
      </c>
      <c r="F423">
        <v>202202</v>
      </c>
      <c r="G423" t="s">
        <v>178</v>
      </c>
      <c r="H423">
        <v>2542</v>
      </c>
    </row>
    <row r="424" spans="1:8">
      <c r="A424">
        <v>5369</v>
      </c>
      <c r="B424" t="s">
        <v>2326</v>
      </c>
      <c r="C424">
        <v>5697</v>
      </c>
      <c r="D424" t="s">
        <v>2199</v>
      </c>
      <c r="E424" t="s">
        <v>2034</v>
      </c>
      <c r="F424">
        <v>202202</v>
      </c>
      <c r="G424" t="s">
        <v>180</v>
      </c>
      <c r="H424">
        <v>1550</v>
      </c>
    </row>
    <row r="425" spans="1:8">
      <c r="A425">
        <v>5369</v>
      </c>
      <c r="B425" t="s">
        <v>2326</v>
      </c>
      <c r="C425">
        <v>5697</v>
      </c>
      <c r="D425" t="s">
        <v>2199</v>
      </c>
      <c r="E425" t="s">
        <v>2034</v>
      </c>
      <c r="F425">
        <v>202202</v>
      </c>
      <c r="G425" t="s">
        <v>182</v>
      </c>
      <c r="H425">
        <v>739795</v>
      </c>
    </row>
    <row r="426" spans="1:8">
      <c r="A426">
        <v>5369</v>
      </c>
      <c r="B426" t="s">
        <v>2326</v>
      </c>
      <c r="C426">
        <v>5697</v>
      </c>
      <c r="D426" t="s">
        <v>2199</v>
      </c>
      <c r="E426" t="s">
        <v>2034</v>
      </c>
      <c r="F426">
        <v>202202</v>
      </c>
      <c r="G426" t="s">
        <v>184</v>
      </c>
      <c r="H426">
        <v>52047</v>
      </c>
    </row>
    <row r="427" spans="1:8">
      <c r="A427">
        <v>5369</v>
      </c>
      <c r="B427" t="s">
        <v>2326</v>
      </c>
      <c r="C427">
        <v>5697</v>
      </c>
      <c r="D427" t="s">
        <v>2199</v>
      </c>
      <c r="E427" t="s">
        <v>2034</v>
      </c>
      <c r="F427">
        <v>202202</v>
      </c>
      <c r="G427" t="s">
        <v>192</v>
      </c>
      <c r="H427">
        <v>0</v>
      </c>
    </row>
    <row r="428" spans="1:8">
      <c r="A428">
        <v>5369</v>
      </c>
      <c r="B428" t="s">
        <v>2326</v>
      </c>
      <c r="C428">
        <v>5697</v>
      </c>
      <c r="D428" t="s">
        <v>2199</v>
      </c>
      <c r="E428" t="s">
        <v>2034</v>
      </c>
      <c r="F428">
        <v>202202</v>
      </c>
      <c r="G428" t="s">
        <v>2168</v>
      </c>
      <c r="H428">
        <v>6160.04</v>
      </c>
    </row>
    <row r="429" spans="1:8">
      <c r="A429">
        <v>5369</v>
      </c>
      <c r="B429" t="s">
        <v>2326</v>
      </c>
      <c r="C429">
        <v>5697</v>
      </c>
      <c r="D429" t="s">
        <v>2199</v>
      </c>
      <c r="E429" t="s">
        <v>2034</v>
      </c>
      <c r="F429">
        <v>202202</v>
      </c>
      <c r="G429" t="s">
        <v>186</v>
      </c>
      <c r="H429">
        <v>0</v>
      </c>
    </row>
    <row r="430" spans="1:8">
      <c r="A430">
        <v>5369</v>
      </c>
      <c r="B430" t="s">
        <v>2326</v>
      </c>
      <c r="C430">
        <v>5697</v>
      </c>
      <c r="D430" t="s">
        <v>2199</v>
      </c>
      <c r="E430" t="s">
        <v>2034</v>
      </c>
      <c r="F430">
        <v>202202</v>
      </c>
      <c r="G430" t="s">
        <v>2167</v>
      </c>
      <c r="H430">
        <v>120.75</v>
      </c>
    </row>
    <row r="431" spans="1:8">
      <c r="A431">
        <v>5369</v>
      </c>
      <c r="B431" t="s">
        <v>2326</v>
      </c>
      <c r="C431">
        <v>5697</v>
      </c>
      <c r="D431" t="s">
        <v>2199</v>
      </c>
      <c r="E431" t="s">
        <v>2034</v>
      </c>
      <c r="F431">
        <v>202202</v>
      </c>
      <c r="G431" t="s">
        <v>2164</v>
      </c>
      <c r="H431">
        <v>11.83</v>
      </c>
    </row>
    <row r="432" spans="1:8">
      <c r="A432">
        <v>5369</v>
      </c>
      <c r="B432" t="s">
        <v>2326</v>
      </c>
      <c r="C432">
        <v>5697</v>
      </c>
      <c r="D432" t="s">
        <v>2199</v>
      </c>
      <c r="E432" t="s">
        <v>2034</v>
      </c>
      <c r="F432">
        <v>202202</v>
      </c>
      <c r="G432" t="s">
        <v>2165</v>
      </c>
      <c r="H432">
        <v>21.22</v>
      </c>
    </row>
    <row r="433" spans="1:8">
      <c r="A433">
        <v>5369</v>
      </c>
      <c r="B433" t="s">
        <v>2326</v>
      </c>
      <c r="C433">
        <v>5697</v>
      </c>
      <c r="D433" t="s">
        <v>2199</v>
      </c>
      <c r="E433" t="s">
        <v>2034</v>
      </c>
      <c r="F433">
        <v>202202</v>
      </c>
      <c r="G433" t="s">
        <v>2166</v>
      </c>
      <c r="H433">
        <v>14.37</v>
      </c>
    </row>
    <row r="434" spans="1:8">
      <c r="A434">
        <v>5369</v>
      </c>
      <c r="B434" t="s">
        <v>2326</v>
      </c>
      <c r="C434">
        <v>5697</v>
      </c>
      <c r="D434" t="s">
        <v>2199</v>
      </c>
      <c r="E434" t="s">
        <v>2034</v>
      </c>
      <c r="F434">
        <v>202202</v>
      </c>
      <c r="G434" t="s">
        <v>2169</v>
      </c>
      <c r="H434">
        <v>130233.72</v>
      </c>
    </row>
    <row r="435" spans="1:8">
      <c r="A435">
        <v>5369</v>
      </c>
      <c r="B435" t="s">
        <v>2326</v>
      </c>
      <c r="C435">
        <v>5697</v>
      </c>
      <c r="D435" t="s">
        <v>2199</v>
      </c>
      <c r="E435" t="s">
        <v>2034</v>
      </c>
      <c r="F435">
        <v>202202</v>
      </c>
      <c r="G435" t="s">
        <v>190</v>
      </c>
      <c r="H435">
        <v>1996958</v>
      </c>
    </row>
    <row r="436" spans="1:8">
      <c r="A436">
        <v>5369</v>
      </c>
      <c r="B436" t="s">
        <v>2326</v>
      </c>
      <c r="C436">
        <v>5697</v>
      </c>
      <c r="D436" t="s">
        <v>2199</v>
      </c>
      <c r="E436" t="s">
        <v>2034</v>
      </c>
      <c r="F436">
        <v>202202</v>
      </c>
      <c r="G436" t="s">
        <v>191</v>
      </c>
      <c r="H436">
        <v>127263</v>
      </c>
    </row>
    <row r="437" spans="1:8">
      <c r="A437">
        <v>5369</v>
      </c>
      <c r="B437" t="s">
        <v>2326</v>
      </c>
      <c r="C437">
        <v>5697</v>
      </c>
      <c r="D437" t="s">
        <v>2199</v>
      </c>
      <c r="E437" t="s">
        <v>2034</v>
      </c>
      <c r="F437">
        <v>202202</v>
      </c>
      <c r="G437" t="s">
        <v>176</v>
      </c>
      <c r="H437">
        <v>0</v>
      </c>
    </row>
    <row r="438" spans="1:8">
      <c r="A438">
        <v>5369</v>
      </c>
      <c r="B438" t="s">
        <v>2326</v>
      </c>
      <c r="C438">
        <v>5697</v>
      </c>
      <c r="D438" t="s">
        <v>2199</v>
      </c>
      <c r="E438" t="s">
        <v>2034</v>
      </c>
      <c r="F438">
        <v>202202</v>
      </c>
      <c r="G438" t="s">
        <v>178</v>
      </c>
      <c r="H438">
        <v>6774</v>
      </c>
    </row>
    <row r="439" spans="1:8">
      <c r="A439">
        <v>5369</v>
      </c>
      <c r="B439" t="s">
        <v>2326</v>
      </c>
      <c r="C439">
        <v>5697</v>
      </c>
      <c r="D439" t="s">
        <v>2199</v>
      </c>
      <c r="E439" t="s">
        <v>2034</v>
      </c>
      <c r="F439">
        <v>202202</v>
      </c>
      <c r="G439" t="s">
        <v>180</v>
      </c>
      <c r="H439">
        <v>4000</v>
      </c>
    </row>
    <row r="440" spans="1:8">
      <c r="A440">
        <v>5369</v>
      </c>
      <c r="B440" t="s">
        <v>2326</v>
      </c>
      <c r="C440">
        <v>5697</v>
      </c>
      <c r="D440" t="s">
        <v>2199</v>
      </c>
      <c r="E440" t="s">
        <v>2034</v>
      </c>
      <c r="F440">
        <v>202202</v>
      </c>
      <c r="G440" t="s">
        <v>182</v>
      </c>
      <c r="H440">
        <v>2056469</v>
      </c>
    </row>
    <row r="441" spans="1:8">
      <c r="A441">
        <v>5369</v>
      </c>
      <c r="B441" t="s">
        <v>2326</v>
      </c>
      <c r="C441">
        <v>5697</v>
      </c>
      <c r="D441" t="s">
        <v>2199</v>
      </c>
      <c r="E441" t="s">
        <v>2034</v>
      </c>
      <c r="F441">
        <v>202202</v>
      </c>
      <c r="G441" t="s">
        <v>184</v>
      </c>
      <c r="H441">
        <v>127263</v>
      </c>
    </row>
    <row r="442" spans="1:8">
      <c r="A442">
        <v>5369</v>
      </c>
      <c r="B442" t="s">
        <v>2326</v>
      </c>
      <c r="C442">
        <v>5697</v>
      </c>
      <c r="D442" t="s">
        <v>2199</v>
      </c>
      <c r="E442" t="s">
        <v>2034</v>
      </c>
      <c r="F442">
        <v>202202</v>
      </c>
      <c r="G442" t="s">
        <v>192</v>
      </c>
      <c r="H442">
        <v>0</v>
      </c>
    </row>
    <row r="443" spans="1:8">
      <c r="A443">
        <v>5369</v>
      </c>
      <c r="B443" t="s">
        <v>2326</v>
      </c>
      <c r="C443">
        <v>5697</v>
      </c>
      <c r="D443" t="s">
        <v>2199</v>
      </c>
      <c r="E443" t="s">
        <v>2034</v>
      </c>
      <c r="F443">
        <v>202202</v>
      </c>
      <c r="G443" t="s">
        <v>2168</v>
      </c>
      <c r="H443">
        <v>22485.41</v>
      </c>
    </row>
    <row r="444" spans="1:8">
      <c r="A444">
        <v>5369</v>
      </c>
      <c r="B444" t="s">
        <v>2326</v>
      </c>
      <c r="C444">
        <v>5697</v>
      </c>
      <c r="D444" t="s">
        <v>2199</v>
      </c>
      <c r="E444" t="s">
        <v>2034</v>
      </c>
      <c r="F444">
        <v>202202</v>
      </c>
      <c r="G444" t="s">
        <v>186</v>
      </c>
      <c r="H444">
        <v>59511</v>
      </c>
    </row>
    <row r="445" spans="1:8">
      <c r="A445">
        <v>5369</v>
      </c>
      <c r="B445" t="s">
        <v>2326</v>
      </c>
      <c r="C445">
        <v>5697</v>
      </c>
      <c r="D445" t="s">
        <v>2199</v>
      </c>
      <c r="E445" t="s">
        <v>2034</v>
      </c>
      <c r="F445">
        <v>202202</v>
      </c>
      <c r="G445" t="s">
        <v>2167</v>
      </c>
      <c r="H445">
        <v>120.75</v>
      </c>
    </row>
    <row r="446" spans="1:8">
      <c r="A446">
        <v>5369</v>
      </c>
      <c r="B446" t="s">
        <v>2326</v>
      </c>
      <c r="C446">
        <v>5697</v>
      </c>
      <c r="D446" t="s">
        <v>2199</v>
      </c>
      <c r="E446" t="s">
        <v>2034</v>
      </c>
      <c r="F446">
        <v>202202</v>
      </c>
      <c r="G446" t="s">
        <v>2164</v>
      </c>
      <c r="H446">
        <v>11.83</v>
      </c>
    </row>
    <row r="447" spans="1:8">
      <c r="A447">
        <v>5369</v>
      </c>
      <c r="B447" t="s">
        <v>2326</v>
      </c>
      <c r="C447">
        <v>5697</v>
      </c>
      <c r="D447" t="s">
        <v>2199</v>
      </c>
      <c r="E447" t="s">
        <v>2034</v>
      </c>
      <c r="F447">
        <v>202202</v>
      </c>
      <c r="G447" t="s">
        <v>2165</v>
      </c>
      <c r="H447">
        <v>21.22</v>
      </c>
    </row>
    <row r="448" spans="1:8">
      <c r="A448">
        <v>5369</v>
      </c>
      <c r="B448" t="s">
        <v>2326</v>
      </c>
      <c r="C448">
        <v>5697</v>
      </c>
      <c r="D448" t="s">
        <v>2199</v>
      </c>
      <c r="E448" t="s">
        <v>2034</v>
      </c>
      <c r="F448">
        <v>202202</v>
      </c>
      <c r="G448" t="s">
        <v>2166</v>
      </c>
      <c r="H448">
        <v>14.37</v>
      </c>
    </row>
    <row r="449" spans="1:8">
      <c r="A449">
        <v>5369</v>
      </c>
      <c r="B449" t="s">
        <v>2326</v>
      </c>
      <c r="C449">
        <v>5697</v>
      </c>
      <c r="D449" t="s">
        <v>2199</v>
      </c>
      <c r="E449" t="s">
        <v>2034</v>
      </c>
      <c r="F449">
        <v>202202</v>
      </c>
      <c r="G449" t="s">
        <v>2169</v>
      </c>
      <c r="H449">
        <v>475378.87</v>
      </c>
    </row>
    <row r="450" spans="1:8">
      <c r="A450">
        <v>5369</v>
      </c>
      <c r="B450" t="s">
        <v>2326</v>
      </c>
      <c r="C450">
        <v>5697</v>
      </c>
      <c r="D450" t="s">
        <v>2199</v>
      </c>
      <c r="E450" t="s">
        <v>2034</v>
      </c>
      <c r="F450">
        <v>202203</v>
      </c>
      <c r="G450" t="s">
        <v>190</v>
      </c>
      <c r="H450">
        <v>1775631</v>
      </c>
    </row>
    <row r="451" spans="1:8">
      <c r="A451">
        <v>5369</v>
      </c>
      <c r="B451" t="s">
        <v>2326</v>
      </c>
      <c r="C451">
        <v>5697</v>
      </c>
      <c r="D451" t="s">
        <v>2199</v>
      </c>
      <c r="E451" t="s">
        <v>2034</v>
      </c>
      <c r="F451">
        <v>202203</v>
      </c>
      <c r="G451" t="s">
        <v>191</v>
      </c>
      <c r="H451">
        <v>118639</v>
      </c>
    </row>
    <row r="452" spans="1:8">
      <c r="A452">
        <v>5369</v>
      </c>
      <c r="B452" t="s">
        <v>2326</v>
      </c>
      <c r="C452">
        <v>5697</v>
      </c>
      <c r="D452" t="s">
        <v>2199</v>
      </c>
      <c r="E452" t="s">
        <v>2034</v>
      </c>
      <c r="F452">
        <v>202203</v>
      </c>
      <c r="G452" t="s">
        <v>176</v>
      </c>
      <c r="H452">
        <v>0</v>
      </c>
    </row>
    <row r="453" spans="1:8">
      <c r="A453">
        <v>5369</v>
      </c>
      <c r="B453" t="s">
        <v>2326</v>
      </c>
      <c r="C453">
        <v>5697</v>
      </c>
      <c r="D453" t="s">
        <v>2199</v>
      </c>
      <c r="E453" t="s">
        <v>2034</v>
      </c>
      <c r="F453">
        <v>202203</v>
      </c>
      <c r="G453" t="s">
        <v>178</v>
      </c>
      <c r="H453">
        <v>6088</v>
      </c>
    </row>
    <row r="454" spans="1:8">
      <c r="A454">
        <v>5369</v>
      </c>
      <c r="B454" t="s">
        <v>2326</v>
      </c>
      <c r="C454">
        <v>5697</v>
      </c>
      <c r="D454" t="s">
        <v>2199</v>
      </c>
      <c r="E454" t="s">
        <v>2034</v>
      </c>
      <c r="F454">
        <v>202203</v>
      </c>
      <c r="G454" t="s">
        <v>180</v>
      </c>
      <c r="H454">
        <v>4000</v>
      </c>
    </row>
    <row r="455" spans="1:8">
      <c r="A455">
        <v>5369</v>
      </c>
      <c r="B455" t="s">
        <v>2326</v>
      </c>
      <c r="C455">
        <v>5697</v>
      </c>
      <c r="D455" t="s">
        <v>2199</v>
      </c>
      <c r="E455" t="s">
        <v>2034</v>
      </c>
      <c r="F455">
        <v>202203</v>
      </c>
      <c r="G455" t="s">
        <v>182</v>
      </c>
      <c r="H455">
        <v>1828930</v>
      </c>
    </row>
    <row r="456" spans="1:8">
      <c r="A456">
        <v>5369</v>
      </c>
      <c r="B456" t="s">
        <v>2326</v>
      </c>
      <c r="C456">
        <v>5697</v>
      </c>
      <c r="D456" t="s">
        <v>2199</v>
      </c>
      <c r="E456" t="s">
        <v>2034</v>
      </c>
      <c r="F456">
        <v>202203</v>
      </c>
      <c r="G456" t="s">
        <v>184</v>
      </c>
      <c r="H456">
        <v>118639</v>
      </c>
    </row>
    <row r="457" spans="1:8">
      <c r="A457">
        <v>5369</v>
      </c>
      <c r="B457" t="s">
        <v>2326</v>
      </c>
      <c r="C457">
        <v>5697</v>
      </c>
      <c r="D457" t="s">
        <v>2199</v>
      </c>
      <c r="E457" t="s">
        <v>2034</v>
      </c>
      <c r="F457">
        <v>202203</v>
      </c>
      <c r="G457" t="s">
        <v>192</v>
      </c>
      <c r="H457">
        <v>0</v>
      </c>
    </row>
    <row r="458" spans="1:8">
      <c r="A458">
        <v>5369</v>
      </c>
      <c r="B458" t="s">
        <v>2326</v>
      </c>
      <c r="C458">
        <v>5697</v>
      </c>
      <c r="D458" t="s">
        <v>2199</v>
      </c>
      <c r="E458" t="s">
        <v>2034</v>
      </c>
      <c r="F458">
        <v>202203</v>
      </c>
      <c r="G458" t="s">
        <v>2168</v>
      </c>
      <c r="H458">
        <v>12286.49</v>
      </c>
    </row>
    <row r="459" spans="1:8">
      <c r="A459">
        <v>5369</v>
      </c>
      <c r="B459" t="s">
        <v>2326</v>
      </c>
      <c r="C459">
        <v>5697</v>
      </c>
      <c r="D459" t="s">
        <v>2199</v>
      </c>
      <c r="E459" t="s">
        <v>2034</v>
      </c>
      <c r="F459">
        <v>202203</v>
      </c>
      <c r="G459" t="s">
        <v>186</v>
      </c>
      <c r="H459">
        <v>53299</v>
      </c>
    </row>
    <row r="460" spans="1:8">
      <c r="A460">
        <v>5369</v>
      </c>
      <c r="B460" t="s">
        <v>2326</v>
      </c>
      <c r="C460">
        <v>5697</v>
      </c>
      <c r="D460" t="s">
        <v>2199</v>
      </c>
      <c r="E460" t="s">
        <v>2034</v>
      </c>
      <c r="F460">
        <v>202203</v>
      </c>
      <c r="G460" t="s">
        <v>2167</v>
      </c>
      <c r="H460">
        <v>120.75</v>
      </c>
    </row>
    <row r="461" spans="1:8">
      <c r="A461">
        <v>5369</v>
      </c>
      <c r="B461" t="s">
        <v>2326</v>
      </c>
      <c r="C461">
        <v>5697</v>
      </c>
      <c r="D461" t="s">
        <v>2199</v>
      </c>
      <c r="E461" t="s">
        <v>2034</v>
      </c>
      <c r="F461">
        <v>202203</v>
      </c>
      <c r="G461" t="s">
        <v>2164</v>
      </c>
      <c r="H461">
        <v>11.83</v>
      </c>
    </row>
    <row r="462" spans="1:8">
      <c r="A462">
        <v>5369</v>
      </c>
      <c r="B462" t="s">
        <v>2326</v>
      </c>
      <c r="C462">
        <v>5697</v>
      </c>
      <c r="D462" t="s">
        <v>2199</v>
      </c>
      <c r="E462" t="s">
        <v>2034</v>
      </c>
      <c r="F462">
        <v>202203</v>
      </c>
      <c r="G462" t="s">
        <v>2165</v>
      </c>
      <c r="H462">
        <v>21.22</v>
      </c>
    </row>
    <row r="463" spans="1:8">
      <c r="A463">
        <v>5369</v>
      </c>
      <c r="B463" t="s">
        <v>2326</v>
      </c>
      <c r="C463">
        <v>5697</v>
      </c>
      <c r="D463" t="s">
        <v>2199</v>
      </c>
      <c r="E463" t="s">
        <v>2034</v>
      </c>
      <c r="F463">
        <v>202203</v>
      </c>
      <c r="G463" t="s">
        <v>2166</v>
      </c>
      <c r="H463">
        <v>14.37</v>
      </c>
    </row>
    <row r="464" spans="1:8">
      <c r="A464">
        <v>5369</v>
      </c>
      <c r="B464" t="s">
        <v>2326</v>
      </c>
      <c r="C464">
        <v>5697</v>
      </c>
      <c r="D464" t="s">
        <v>2199</v>
      </c>
      <c r="E464" t="s">
        <v>2034</v>
      </c>
      <c r="F464">
        <v>202203</v>
      </c>
      <c r="G464" t="s">
        <v>2169</v>
      </c>
      <c r="H464">
        <v>429598.14</v>
      </c>
    </row>
    <row r="465" spans="1:8">
      <c r="A465">
        <v>5369</v>
      </c>
      <c r="B465" t="s">
        <v>2326</v>
      </c>
      <c r="C465">
        <v>5697</v>
      </c>
      <c r="D465" t="s">
        <v>2199</v>
      </c>
      <c r="E465" t="s">
        <v>2034</v>
      </c>
      <c r="F465">
        <v>202203</v>
      </c>
      <c r="G465" t="s">
        <v>190</v>
      </c>
      <c r="H465">
        <v>1060569</v>
      </c>
    </row>
    <row r="466" spans="1:8">
      <c r="A466">
        <v>5369</v>
      </c>
      <c r="B466" t="s">
        <v>2326</v>
      </c>
      <c r="C466">
        <v>5697</v>
      </c>
      <c r="D466" t="s">
        <v>2199</v>
      </c>
      <c r="E466" t="s">
        <v>2034</v>
      </c>
      <c r="F466">
        <v>202203</v>
      </c>
      <c r="G466" t="s">
        <v>191</v>
      </c>
      <c r="H466">
        <v>103716</v>
      </c>
    </row>
    <row r="467" spans="1:8">
      <c r="A467">
        <v>5369</v>
      </c>
      <c r="B467" t="s">
        <v>2326</v>
      </c>
      <c r="C467">
        <v>5697</v>
      </c>
      <c r="D467" t="s">
        <v>2199</v>
      </c>
      <c r="E467" t="s">
        <v>2034</v>
      </c>
      <c r="F467">
        <v>202203</v>
      </c>
      <c r="G467" t="s">
        <v>176</v>
      </c>
      <c r="H467">
        <v>0</v>
      </c>
    </row>
    <row r="468" spans="1:8">
      <c r="A468">
        <v>5369</v>
      </c>
      <c r="B468" t="s">
        <v>2326</v>
      </c>
      <c r="C468">
        <v>5697</v>
      </c>
      <c r="D468" t="s">
        <v>2199</v>
      </c>
      <c r="E468" t="s">
        <v>2034</v>
      </c>
      <c r="F468">
        <v>202203</v>
      </c>
      <c r="G468" t="s">
        <v>178</v>
      </c>
      <c r="H468">
        <v>3174</v>
      </c>
    </row>
    <row r="469" spans="1:8">
      <c r="A469">
        <v>5369</v>
      </c>
      <c r="B469" t="s">
        <v>2326</v>
      </c>
      <c r="C469">
        <v>5697</v>
      </c>
      <c r="D469" t="s">
        <v>2199</v>
      </c>
      <c r="E469" t="s">
        <v>2034</v>
      </c>
      <c r="F469">
        <v>202203</v>
      </c>
      <c r="G469" t="s">
        <v>180</v>
      </c>
      <c r="H469">
        <v>2334</v>
      </c>
    </row>
    <row r="470" spans="1:8">
      <c r="A470">
        <v>5369</v>
      </c>
      <c r="B470" t="s">
        <v>2326</v>
      </c>
      <c r="C470">
        <v>5697</v>
      </c>
      <c r="D470" t="s">
        <v>2199</v>
      </c>
      <c r="E470" t="s">
        <v>2034</v>
      </c>
      <c r="F470">
        <v>202203</v>
      </c>
      <c r="G470" t="s">
        <v>182</v>
      </c>
      <c r="H470">
        <v>1060569</v>
      </c>
    </row>
    <row r="471" spans="1:8">
      <c r="A471">
        <v>5369</v>
      </c>
      <c r="B471" t="s">
        <v>2326</v>
      </c>
      <c r="C471">
        <v>5697</v>
      </c>
      <c r="D471" t="s">
        <v>2199</v>
      </c>
      <c r="E471" t="s">
        <v>2034</v>
      </c>
      <c r="F471">
        <v>202203</v>
      </c>
      <c r="G471" t="s">
        <v>184</v>
      </c>
      <c r="H471">
        <v>103716</v>
      </c>
    </row>
    <row r="472" spans="1:8">
      <c r="A472">
        <v>5369</v>
      </c>
      <c r="B472" t="s">
        <v>2326</v>
      </c>
      <c r="C472">
        <v>5697</v>
      </c>
      <c r="D472" t="s">
        <v>2199</v>
      </c>
      <c r="E472" t="s">
        <v>2034</v>
      </c>
      <c r="F472">
        <v>202203</v>
      </c>
      <c r="G472" t="s">
        <v>192</v>
      </c>
      <c r="H472">
        <v>0</v>
      </c>
    </row>
    <row r="473" spans="1:8">
      <c r="A473">
        <v>5369</v>
      </c>
      <c r="B473" t="s">
        <v>2326</v>
      </c>
      <c r="C473">
        <v>5697</v>
      </c>
      <c r="D473" t="s">
        <v>2199</v>
      </c>
      <c r="E473" t="s">
        <v>2034</v>
      </c>
      <c r="F473">
        <v>202203</v>
      </c>
      <c r="G473" t="s">
        <v>2168</v>
      </c>
      <c r="H473">
        <v>7595.71</v>
      </c>
    </row>
    <row r="474" spans="1:8">
      <c r="A474">
        <v>5369</v>
      </c>
      <c r="B474" t="s">
        <v>2326</v>
      </c>
      <c r="C474">
        <v>5697</v>
      </c>
      <c r="D474" t="s">
        <v>2199</v>
      </c>
      <c r="E474" t="s">
        <v>2034</v>
      </c>
      <c r="F474">
        <v>202203</v>
      </c>
      <c r="G474" t="s">
        <v>186</v>
      </c>
      <c r="H474">
        <v>0</v>
      </c>
    </row>
    <row r="475" spans="1:8">
      <c r="A475">
        <v>5369</v>
      </c>
      <c r="B475" t="s">
        <v>2326</v>
      </c>
      <c r="C475">
        <v>5697</v>
      </c>
      <c r="D475" t="s">
        <v>2199</v>
      </c>
      <c r="E475" t="s">
        <v>2034</v>
      </c>
      <c r="F475">
        <v>202203</v>
      </c>
      <c r="G475" t="s">
        <v>2167</v>
      </c>
      <c r="H475">
        <v>120.75</v>
      </c>
    </row>
    <row r="476" spans="1:8">
      <c r="A476">
        <v>5369</v>
      </c>
      <c r="B476" t="s">
        <v>2326</v>
      </c>
      <c r="C476">
        <v>5697</v>
      </c>
      <c r="D476" t="s">
        <v>2199</v>
      </c>
      <c r="E476" t="s">
        <v>2034</v>
      </c>
      <c r="F476">
        <v>202203</v>
      </c>
      <c r="G476" t="s">
        <v>2164</v>
      </c>
      <c r="H476">
        <v>11.83</v>
      </c>
    </row>
    <row r="477" spans="1:8">
      <c r="A477">
        <v>5369</v>
      </c>
      <c r="B477" t="s">
        <v>2326</v>
      </c>
      <c r="C477">
        <v>5697</v>
      </c>
      <c r="D477" t="s">
        <v>2199</v>
      </c>
      <c r="E477" t="s">
        <v>2034</v>
      </c>
      <c r="F477">
        <v>202203</v>
      </c>
      <c r="G477" t="s">
        <v>2165</v>
      </c>
      <c r="H477">
        <v>21.22</v>
      </c>
    </row>
    <row r="478" spans="1:8">
      <c r="A478">
        <v>5369</v>
      </c>
      <c r="B478" t="s">
        <v>2326</v>
      </c>
      <c r="C478">
        <v>5697</v>
      </c>
      <c r="D478" t="s">
        <v>2199</v>
      </c>
      <c r="E478" t="s">
        <v>2034</v>
      </c>
      <c r="F478">
        <v>202203</v>
      </c>
      <c r="G478" t="s">
        <v>2166</v>
      </c>
      <c r="H478">
        <v>14.37</v>
      </c>
    </row>
    <row r="479" spans="1:8">
      <c r="A479">
        <v>5369</v>
      </c>
      <c r="B479" t="s">
        <v>2326</v>
      </c>
      <c r="C479">
        <v>5697</v>
      </c>
      <c r="D479" t="s">
        <v>2199</v>
      </c>
      <c r="E479" t="s">
        <v>2034</v>
      </c>
      <c r="F479">
        <v>202203</v>
      </c>
      <c r="G479" t="s">
        <v>2169</v>
      </c>
      <c r="H479">
        <v>265584.67</v>
      </c>
    </row>
    <row r="480" spans="1:8">
      <c r="A480">
        <v>5369</v>
      </c>
      <c r="B480" t="s">
        <v>2326</v>
      </c>
      <c r="C480">
        <v>5697</v>
      </c>
      <c r="D480" t="s">
        <v>2199</v>
      </c>
      <c r="E480" t="s">
        <v>2034</v>
      </c>
      <c r="F480">
        <v>202203</v>
      </c>
      <c r="G480" t="s">
        <v>190</v>
      </c>
      <c r="H480">
        <v>750783</v>
      </c>
    </row>
    <row r="481" spans="1:8">
      <c r="A481">
        <v>5369</v>
      </c>
      <c r="B481" t="s">
        <v>2326</v>
      </c>
      <c r="C481">
        <v>5697</v>
      </c>
      <c r="D481" t="s">
        <v>2199</v>
      </c>
      <c r="E481" t="s">
        <v>2034</v>
      </c>
      <c r="F481">
        <v>202203</v>
      </c>
      <c r="G481" t="s">
        <v>191</v>
      </c>
      <c r="H481">
        <v>47729</v>
      </c>
    </row>
    <row r="482" spans="1:8">
      <c r="A482">
        <v>5369</v>
      </c>
      <c r="B482" t="s">
        <v>2326</v>
      </c>
      <c r="C482">
        <v>5697</v>
      </c>
      <c r="D482" t="s">
        <v>2199</v>
      </c>
      <c r="E482" t="s">
        <v>2034</v>
      </c>
      <c r="F482">
        <v>202203</v>
      </c>
      <c r="G482" t="s">
        <v>176</v>
      </c>
      <c r="H482">
        <v>0</v>
      </c>
    </row>
    <row r="483" spans="1:8">
      <c r="A483">
        <v>5369</v>
      </c>
      <c r="B483" t="s">
        <v>2326</v>
      </c>
      <c r="C483">
        <v>5697</v>
      </c>
      <c r="D483" t="s">
        <v>2199</v>
      </c>
      <c r="E483" t="s">
        <v>2034</v>
      </c>
      <c r="F483">
        <v>202203</v>
      </c>
      <c r="G483" t="s">
        <v>178</v>
      </c>
      <c r="H483">
        <v>2599</v>
      </c>
    </row>
    <row r="484" spans="1:8">
      <c r="A484">
        <v>5369</v>
      </c>
      <c r="B484" t="s">
        <v>2326</v>
      </c>
      <c r="C484">
        <v>5697</v>
      </c>
      <c r="D484" t="s">
        <v>2199</v>
      </c>
      <c r="E484" t="s">
        <v>2034</v>
      </c>
      <c r="F484">
        <v>202203</v>
      </c>
      <c r="G484" t="s">
        <v>180</v>
      </c>
      <c r="H484">
        <v>1550</v>
      </c>
    </row>
    <row r="485" spans="1:8">
      <c r="A485">
        <v>5369</v>
      </c>
      <c r="B485" t="s">
        <v>2326</v>
      </c>
      <c r="C485">
        <v>5697</v>
      </c>
      <c r="D485" t="s">
        <v>2199</v>
      </c>
      <c r="E485" t="s">
        <v>2034</v>
      </c>
      <c r="F485">
        <v>202203</v>
      </c>
      <c r="G485" t="s">
        <v>182</v>
      </c>
      <c r="H485">
        <v>750783</v>
      </c>
    </row>
    <row r="486" spans="1:8">
      <c r="A486">
        <v>5369</v>
      </c>
      <c r="B486" t="s">
        <v>2326</v>
      </c>
      <c r="C486">
        <v>5697</v>
      </c>
      <c r="D486" t="s">
        <v>2199</v>
      </c>
      <c r="E486" t="s">
        <v>2034</v>
      </c>
      <c r="F486">
        <v>202203</v>
      </c>
      <c r="G486" t="s">
        <v>184</v>
      </c>
      <c r="H486">
        <v>47729</v>
      </c>
    </row>
    <row r="487" spans="1:8">
      <c r="A487">
        <v>5369</v>
      </c>
      <c r="B487" t="s">
        <v>2326</v>
      </c>
      <c r="C487">
        <v>5697</v>
      </c>
      <c r="D487" t="s">
        <v>2199</v>
      </c>
      <c r="E487" t="s">
        <v>2034</v>
      </c>
      <c r="F487">
        <v>202203</v>
      </c>
      <c r="G487" t="s">
        <v>192</v>
      </c>
      <c r="H487">
        <v>0</v>
      </c>
    </row>
    <row r="488" spans="1:8">
      <c r="A488">
        <v>5369</v>
      </c>
      <c r="B488" t="s">
        <v>2326</v>
      </c>
      <c r="C488">
        <v>5697</v>
      </c>
      <c r="D488" t="s">
        <v>2199</v>
      </c>
      <c r="E488" t="s">
        <v>2034</v>
      </c>
      <c r="F488">
        <v>202203</v>
      </c>
      <c r="G488" t="s">
        <v>2168</v>
      </c>
      <c r="H488">
        <v>3727.21</v>
      </c>
    </row>
    <row r="489" spans="1:8">
      <c r="A489">
        <v>5369</v>
      </c>
      <c r="B489" t="s">
        <v>2326</v>
      </c>
      <c r="C489">
        <v>5697</v>
      </c>
      <c r="D489" t="s">
        <v>2199</v>
      </c>
      <c r="E489" t="s">
        <v>2034</v>
      </c>
      <c r="F489">
        <v>202203</v>
      </c>
      <c r="G489" t="s">
        <v>186</v>
      </c>
      <c r="H489">
        <v>0</v>
      </c>
    </row>
    <row r="490" spans="1:8">
      <c r="A490">
        <v>5369</v>
      </c>
      <c r="B490" t="s">
        <v>2326</v>
      </c>
      <c r="C490">
        <v>5697</v>
      </c>
      <c r="D490" t="s">
        <v>2199</v>
      </c>
      <c r="E490" t="s">
        <v>2034</v>
      </c>
      <c r="F490">
        <v>202203</v>
      </c>
      <c r="G490" t="s">
        <v>2167</v>
      </c>
      <c r="H490">
        <v>120.75</v>
      </c>
    </row>
    <row r="491" spans="1:8">
      <c r="A491">
        <v>5369</v>
      </c>
      <c r="B491" t="s">
        <v>2326</v>
      </c>
      <c r="C491">
        <v>5697</v>
      </c>
      <c r="D491" t="s">
        <v>2199</v>
      </c>
      <c r="E491" t="s">
        <v>2034</v>
      </c>
      <c r="F491">
        <v>202203</v>
      </c>
      <c r="G491" t="s">
        <v>2164</v>
      </c>
      <c r="H491">
        <v>11.83</v>
      </c>
    </row>
    <row r="492" spans="1:8">
      <c r="A492">
        <v>5369</v>
      </c>
      <c r="B492" t="s">
        <v>2326</v>
      </c>
      <c r="C492">
        <v>5697</v>
      </c>
      <c r="D492" t="s">
        <v>2199</v>
      </c>
      <c r="E492" t="s">
        <v>2034</v>
      </c>
      <c r="F492">
        <v>202203</v>
      </c>
      <c r="G492" t="s">
        <v>2165</v>
      </c>
      <c r="H492">
        <v>21.22</v>
      </c>
    </row>
    <row r="493" spans="1:8">
      <c r="A493">
        <v>5369</v>
      </c>
      <c r="B493" t="s">
        <v>2326</v>
      </c>
      <c r="C493">
        <v>5697</v>
      </c>
      <c r="D493" t="s">
        <v>2199</v>
      </c>
      <c r="E493" t="s">
        <v>2034</v>
      </c>
      <c r="F493">
        <v>202203</v>
      </c>
      <c r="G493" t="s">
        <v>2166</v>
      </c>
      <c r="H493">
        <v>14.37</v>
      </c>
    </row>
    <row r="494" spans="1:8">
      <c r="A494">
        <v>5369</v>
      </c>
      <c r="B494" t="s">
        <v>2326</v>
      </c>
      <c r="C494">
        <v>5697</v>
      </c>
      <c r="D494" t="s">
        <v>2199</v>
      </c>
      <c r="E494" t="s">
        <v>2034</v>
      </c>
      <c r="F494">
        <v>202203</v>
      </c>
      <c r="G494" t="s">
        <v>2169</v>
      </c>
      <c r="H494">
        <v>130321.71</v>
      </c>
    </row>
    <row r="495" spans="1:8">
      <c r="A495">
        <v>5369</v>
      </c>
      <c r="B495" t="s">
        <v>2326</v>
      </c>
      <c r="C495">
        <v>5697</v>
      </c>
      <c r="D495" t="s">
        <v>2199</v>
      </c>
      <c r="E495" t="s">
        <v>2034</v>
      </c>
      <c r="F495">
        <v>202204</v>
      </c>
      <c r="G495" t="s">
        <v>190</v>
      </c>
      <c r="H495">
        <v>1121474</v>
      </c>
    </row>
    <row r="496" spans="1:8">
      <c r="A496">
        <v>5369</v>
      </c>
      <c r="B496" t="s">
        <v>2326</v>
      </c>
      <c r="C496">
        <v>5697</v>
      </c>
      <c r="D496" t="s">
        <v>2199</v>
      </c>
      <c r="E496" t="s">
        <v>2034</v>
      </c>
      <c r="F496">
        <v>202204</v>
      </c>
      <c r="G496" t="s">
        <v>191</v>
      </c>
      <c r="H496">
        <v>106312</v>
      </c>
    </row>
    <row r="497" spans="1:8">
      <c r="A497">
        <v>5369</v>
      </c>
      <c r="B497" t="s">
        <v>2326</v>
      </c>
      <c r="C497">
        <v>5697</v>
      </c>
      <c r="D497" t="s">
        <v>2199</v>
      </c>
      <c r="E497" t="s">
        <v>2034</v>
      </c>
      <c r="F497">
        <v>202204</v>
      </c>
      <c r="G497" t="s">
        <v>176</v>
      </c>
      <c r="H497">
        <v>0</v>
      </c>
    </row>
    <row r="498" spans="1:8">
      <c r="A498">
        <v>5369</v>
      </c>
      <c r="B498" t="s">
        <v>2326</v>
      </c>
      <c r="C498">
        <v>5697</v>
      </c>
      <c r="D498" t="s">
        <v>2199</v>
      </c>
      <c r="E498" t="s">
        <v>2034</v>
      </c>
      <c r="F498">
        <v>202204</v>
      </c>
      <c r="G498" t="s">
        <v>178</v>
      </c>
      <c r="H498">
        <v>3305</v>
      </c>
    </row>
    <row r="499" spans="1:8">
      <c r="A499">
        <v>5369</v>
      </c>
      <c r="B499" t="s">
        <v>2326</v>
      </c>
      <c r="C499">
        <v>5697</v>
      </c>
      <c r="D499" t="s">
        <v>2199</v>
      </c>
      <c r="E499" t="s">
        <v>2034</v>
      </c>
      <c r="F499">
        <v>202204</v>
      </c>
      <c r="G499" t="s">
        <v>180</v>
      </c>
      <c r="H499">
        <v>2250</v>
      </c>
    </row>
    <row r="500" spans="1:8">
      <c r="A500">
        <v>5369</v>
      </c>
      <c r="B500" t="s">
        <v>2326</v>
      </c>
      <c r="C500">
        <v>5697</v>
      </c>
      <c r="D500" t="s">
        <v>2199</v>
      </c>
      <c r="E500" t="s">
        <v>2034</v>
      </c>
      <c r="F500">
        <v>202204</v>
      </c>
      <c r="G500" t="s">
        <v>182</v>
      </c>
      <c r="H500">
        <v>1121474</v>
      </c>
    </row>
    <row r="501" spans="1:8">
      <c r="A501">
        <v>5369</v>
      </c>
      <c r="B501" t="s">
        <v>2326</v>
      </c>
      <c r="C501">
        <v>5697</v>
      </c>
      <c r="D501" t="s">
        <v>2199</v>
      </c>
      <c r="E501" t="s">
        <v>2034</v>
      </c>
      <c r="F501">
        <v>202204</v>
      </c>
      <c r="G501" t="s">
        <v>184</v>
      </c>
      <c r="H501">
        <v>106312</v>
      </c>
    </row>
    <row r="502" spans="1:8">
      <c r="A502">
        <v>5369</v>
      </c>
      <c r="B502" t="s">
        <v>2326</v>
      </c>
      <c r="C502">
        <v>5697</v>
      </c>
      <c r="D502" t="s">
        <v>2199</v>
      </c>
      <c r="E502" t="s">
        <v>2034</v>
      </c>
      <c r="F502">
        <v>202204</v>
      </c>
      <c r="G502" t="s">
        <v>192</v>
      </c>
      <c r="H502">
        <v>0</v>
      </c>
    </row>
    <row r="503" spans="1:8">
      <c r="A503">
        <v>5369</v>
      </c>
      <c r="B503" t="s">
        <v>2326</v>
      </c>
      <c r="C503">
        <v>5697</v>
      </c>
      <c r="D503" t="s">
        <v>2199</v>
      </c>
      <c r="E503" t="s">
        <v>2034</v>
      </c>
      <c r="F503">
        <v>202204</v>
      </c>
      <c r="G503" t="s">
        <v>2168</v>
      </c>
      <c r="H503">
        <v>9150.26</v>
      </c>
    </row>
    <row r="504" spans="1:8">
      <c r="A504">
        <v>5369</v>
      </c>
      <c r="B504" t="s">
        <v>2326</v>
      </c>
      <c r="C504">
        <v>5697</v>
      </c>
      <c r="D504" t="s">
        <v>2199</v>
      </c>
      <c r="E504" t="s">
        <v>2034</v>
      </c>
      <c r="F504">
        <v>202204</v>
      </c>
      <c r="G504" t="s">
        <v>186</v>
      </c>
      <c r="H504">
        <v>0</v>
      </c>
    </row>
    <row r="505" spans="1:8">
      <c r="A505">
        <v>5369</v>
      </c>
      <c r="B505" t="s">
        <v>2326</v>
      </c>
      <c r="C505">
        <v>5697</v>
      </c>
      <c r="D505" t="s">
        <v>2199</v>
      </c>
      <c r="E505" t="s">
        <v>2034</v>
      </c>
      <c r="F505">
        <v>202204</v>
      </c>
      <c r="G505" t="s">
        <v>2167</v>
      </c>
      <c r="H505">
        <v>120.75</v>
      </c>
    </row>
    <row r="506" spans="1:8">
      <c r="A506">
        <v>5369</v>
      </c>
      <c r="B506" t="s">
        <v>2326</v>
      </c>
      <c r="C506">
        <v>5697</v>
      </c>
      <c r="D506" t="s">
        <v>2199</v>
      </c>
      <c r="E506" t="s">
        <v>2034</v>
      </c>
      <c r="F506">
        <v>202204</v>
      </c>
      <c r="G506" t="s">
        <v>2164</v>
      </c>
      <c r="H506">
        <v>11.83</v>
      </c>
    </row>
    <row r="507" spans="1:8">
      <c r="A507">
        <v>5369</v>
      </c>
      <c r="B507" t="s">
        <v>2326</v>
      </c>
      <c r="C507">
        <v>5697</v>
      </c>
      <c r="D507" t="s">
        <v>2199</v>
      </c>
      <c r="E507" t="s">
        <v>2034</v>
      </c>
      <c r="F507">
        <v>202204</v>
      </c>
      <c r="G507" t="s">
        <v>2165</v>
      </c>
      <c r="H507">
        <v>21.22</v>
      </c>
    </row>
    <row r="508" spans="1:8">
      <c r="A508">
        <v>5369</v>
      </c>
      <c r="B508" t="s">
        <v>2326</v>
      </c>
      <c r="C508">
        <v>5697</v>
      </c>
      <c r="D508" t="s">
        <v>2199</v>
      </c>
      <c r="E508" t="s">
        <v>2034</v>
      </c>
      <c r="F508">
        <v>202204</v>
      </c>
      <c r="G508" t="s">
        <v>2166</v>
      </c>
      <c r="H508">
        <v>14.37</v>
      </c>
    </row>
    <row r="509" spans="1:8">
      <c r="A509">
        <v>5369</v>
      </c>
      <c r="B509" t="s">
        <v>2326</v>
      </c>
      <c r="C509">
        <v>5697</v>
      </c>
      <c r="D509" t="s">
        <v>2199</v>
      </c>
      <c r="E509" t="s">
        <v>2034</v>
      </c>
      <c r="F509">
        <v>202204</v>
      </c>
      <c r="G509" t="s">
        <v>2169</v>
      </c>
      <c r="H509">
        <v>278971.28000000003</v>
      </c>
    </row>
    <row r="510" spans="1:8">
      <c r="A510">
        <v>5369</v>
      </c>
      <c r="B510" t="s">
        <v>2326</v>
      </c>
      <c r="C510">
        <v>5697</v>
      </c>
      <c r="D510" t="s">
        <v>2199</v>
      </c>
      <c r="E510" t="s">
        <v>2034</v>
      </c>
      <c r="F510">
        <v>202204</v>
      </c>
      <c r="G510" t="s">
        <v>190</v>
      </c>
      <c r="H510">
        <v>819299</v>
      </c>
    </row>
    <row r="511" spans="1:8">
      <c r="A511">
        <v>5369</v>
      </c>
      <c r="B511" t="s">
        <v>2326</v>
      </c>
      <c r="C511">
        <v>5697</v>
      </c>
      <c r="D511" t="s">
        <v>2199</v>
      </c>
      <c r="E511" t="s">
        <v>2034</v>
      </c>
      <c r="F511">
        <v>202204</v>
      </c>
      <c r="G511" t="s">
        <v>191</v>
      </c>
      <c r="H511">
        <v>54491</v>
      </c>
    </row>
    <row r="512" spans="1:8">
      <c r="A512">
        <v>5369</v>
      </c>
      <c r="B512" t="s">
        <v>2326</v>
      </c>
      <c r="C512">
        <v>5697</v>
      </c>
      <c r="D512" t="s">
        <v>2199</v>
      </c>
      <c r="E512" t="s">
        <v>2034</v>
      </c>
      <c r="F512">
        <v>202204</v>
      </c>
      <c r="G512" t="s">
        <v>176</v>
      </c>
      <c r="H512">
        <v>0</v>
      </c>
    </row>
    <row r="513" spans="1:8">
      <c r="A513">
        <v>5369</v>
      </c>
      <c r="B513" t="s">
        <v>2326</v>
      </c>
      <c r="C513">
        <v>5697</v>
      </c>
      <c r="D513" t="s">
        <v>2199</v>
      </c>
      <c r="E513" t="s">
        <v>2034</v>
      </c>
      <c r="F513">
        <v>202204</v>
      </c>
      <c r="G513" t="s">
        <v>178</v>
      </c>
      <c r="H513">
        <v>2533</v>
      </c>
    </row>
    <row r="514" spans="1:8">
      <c r="A514">
        <v>5369</v>
      </c>
      <c r="B514" t="s">
        <v>2326</v>
      </c>
      <c r="C514">
        <v>5697</v>
      </c>
      <c r="D514" t="s">
        <v>2199</v>
      </c>
      <c r="E514" t="s">
        <v>2034</v>
      </c>
      <c r="F514">
        <v>202204</v>
      </c>
      <c r="G514" t="s">
        <v>180</v>
      </c>
      <c r="H514">
        <v>1550</v>
      </c>
    </row>
    <row r="515" spans="1:8">
      <c r="A515">
        <v>5369</v>
      </c>
      <c r="B515" t="s">
        <v>2326</v>
      </c>
      <c r="C515">
        <v>5697</v>
      </c>
      <c r="D515" t="s">
        <v>2199</v>
      </c>
      <c r="E515" t="s">
        <v>2034</v>
      </c>
      <c r="F515">
        <v>202204</v>
      </c>
      <c r="G515" t="s">
        <v>182</v>
      </c>
      <c r="H515">
        <v>819299</v>
      </c>
    </row>
    <row r="516" spans="1:8">
      <c r="A516">
        <v>5369</v>
      </c>
      <c r="B516" t="s">
        <v>2326</v>
      </c>
      <c r="C516">
        <v>5697</v>
      </c>
      <c r="D516" t="s">
        <v>2199</v>
      </c>
      <c r="E516" t="s">
        <v>2034</v>
      </c>
      <c r="F516">
        <v>202204</v>
      </c>
      <c r="G516" t="s">
        <v>184</v>
      </c>
      <c r="H516">
        <v>54491</v>
      </c>
    </row>
    <row r="517" spans="1:8">
      <c r="A517">
        <v>5369</v>
      </c>
      <c r="B517" t="s">
        <v>2326</v>
      </c>
      <c r="C517">
        <v>5697</v>
      </c>
      <c r="D517" t="s">
        <v>2199</v>
      </c>
      <c r="E517" t="s">
        <v>2034</v>
      </c>
      <c r="F517">
        <v>202204</v>
      </c>
      <c r="G517" t="s">
        <v>192</v>
      </c>
      <c r="H517">
        <v>0</v>
      </c>
    </row>
    <row r="518" spans="1:8">
      <c r="A518">
        <v>5369</v>
      </c>
      <c r="B518" t="s">
        <v>2326</v>
      </c>
      <c r="C518">
        <v>5697</v>
      </c>
      <c r="D518" t="s">
        <v>2199</v>
      </c>
      <c r="E518" t="s">
        <v>2034</v>
      </c>
      <c r="F518">
        <v>202204</v>
      </c>
      <c r="G518" t="s">
        <v>2168</v>
      </c>
      <c r="H518">
        <v>3367.05</v>
      </c>
    </row>
    <row r="519" spans="1:8">
      <c r="A519">
        <v>5369</v>
      </c>
      <c r="B519" t="s">
        <v>2326</v>
      </c>
      <c r="C519">
        <v>5697</v>
      </c>
      <c r="D519" t="s">
        <v>2199</v>
      </c>
      <c r="E519" t="s">
        <v>2034</v>
      </c>
      <c r="F519">
        <v>202204</v>
      </c>
      <c r="G519" t="s">
        <v>186</v>
      </c>
      <c r="H519">
        <v>0</v>
      </c>
    </row>
    <row r="520" spans="1:8">
      <c r="A520">
        <v>5369</v>
      </c>
      <c r="B520" t="s">
        <v>2326</v>
      </c>
      <c r="C520">
        <v>5697</v>
      </c>
      <c r="D520" t="s">
        <v>2199</v>
      </c>
      <c r="E520" t="s">
        <v>2034</v>
      </c>
      <c r="F520">
        <v>202204</v>
      </c>
      <c r="G520" t="s">
        <v>2167</v>
      </c>
      <c r="H520">
        <v>120.75</v>
      </c>
    </row>
    <row r="521" spans="1:8">
      <c r="A521">
        <v>5369</v>
      </c>
      <c r="B521" t="s">
        <v>2326</v>
      </c>
      <c r="C521">
        <v>5697</v>
      </c>
      <c r="D521" t="s">
        <v>2199</v>
      </c>
      <c r="E521" t="s">
        <v>2034</v>
      </c>
      <c r="F521">
        <v>202204</v>
      </c>
      <c r="G521" t="s">
        <v>2164</v>
      </c>
      <c r="H521">
        <v>11.83</v>
      </c>
    </row>
    <row r="522" spans="1:8">
      <c r="A522">
        <v>5369</v>
      </c>
      <c r="B522" t="s">
        <v>2326</v>
      </c>
      <c r="C522">
        <v>5697</v>
      </c>
      <c r="D522" t="s">
        <v>2199</v>
      </c>
      <c r="E522" t="s">
        <v>2034</v>
      </c>
      <c r="F522">
        <v>202204</v>
      </c>
      <c r="G522" t="s">
        <v>2165</v>
      </c>
      <c r="H522">
        <v>21.22</v>
      </c>
    </row>
    <row r="523" spans="1:8">
      <c r="A523">
        <v>5369</v>
      </c>
      <c r="B523" t="s">
        <v>2326</v>
      </c>
      <c r="C523">
        <v>5697</v>
      </c>
      <c r="D523" t="s">
        <v>2199</v>
      </c>
      <c r="E523" t="s">
        <v>2034</v>
      </c>
      <c r="F523">
        <v>202204</v>
      </c>
      <c r="G523" t="s">
        <v>2166</v>
      </c>
      <c r="H523">
        <v>14.37</v>
      </c>
    </row>
    <row r="524" spans="1:8">
      <c r="A524">
        <v>5369</v>
      </c>
      <c r="B524" t="s">
        <v>2326</v>
      </c>
      <c r="C524">
        <v>5697</v>
      </c>
      <c r="D524" t="s">
        <v>2199</v>
      </c>
      <c r="E524" t="s">
        <v>2034</v>
      </c>
      <c r="F524">
        <v>202204</v>
      </c>
      <c r="G524" t="s">
        <v>2169</v>
      </c>
      <c r="H524">
        <v>133141.97</v>
      </c>
    </row>
    <row r="525" spans="1:8">
      <c r="A525">
        <v>5369</v>
      </c>
      <c r="B525" t="s">
        <v>2326</v>
      </c>
      <c r="C525">
        <v>5697</v>
      </c>
      <c r="D525" t="s">
        <v>2199</v>
      </c>
      <c r="E525" t="s">
        <v>2034</v>
      </c>
      <c r="F525">
        <v>202204</v>
      </c>
      <c r="G525" t="s">
        <v>190</v>
      </c>
      <c r="H525">
        <v>2244738</v>
      </c>
    </row>
    <row r="526" spans="1:8">
      <c r="A526">
        <v>5369</v>
      </c>
      <c r="B526" t="s">
        <v>2326</v>
      </c>
      <c r="C526">
        <v>5697</v>
      </c>
      <c r="D526" t="s">
        <v>2199</v>
      </c>
      <c r="E526" t="s">
        <v>2034</v>
      </c>
      <c r="F526">
        <v>202204</v>
      </c>
      <c r="G526" t="s">
        <v>191</v>
      </c>
      <c r="H526">
        <v>136785</v>
      </c>
    </row>
    <row r="527" spans="1:8">
      <c r="A527">
        <v>5369</v>
      </c>
      <c r="B527" t="s">
        <v>2326</v>
      </c>
      <c r="C527">
        <v>5697</v>
      </c>
      <c r="D527" t="s">
        <v>2199</v>
      </c>
      <c r="E527" t="s">
        <v>2034</v>
      </c>
      <c r="F527">
        <v>202204</v>
      </c>
      <c r="G527" t="s">
        <v>176</v>
      </c>
      <c r="H527">
        <v>0</v>
      </c>
    </row>
    <row r="528" spans="1:8">
      <c r="A528">
        <v>5369</v>
      </c>
      <c r="B528" t="s">
        <v>2326</v>
      </c>
      <c r="C528">
        <v>5697</v>
      </c>
      <c r="D528" t="s">
        <v>2199</v>
      </c>
      <c r="E528" t="s">
        <v>2034</v>
      </c>
      <c r="F528">
        <v>202204</v>
      </c>
      <c r="G528" t="s">
        <v>178</v>
      </c>
      <c r="H528">
        <v>6377</v>
      </c>
    </row>
    <row r="529" spans="1:8">
      <c r="A529">
        <v>5369</v>
      </c>
      <c r="B529" t="s">
        <v>2326</v>
      </c>
      <c r="C529">
        <v>5697</v>
      </c>
      <c r="D529" t="s">
        <v>2199</v>
      </c>
      <c r="E529" t="s">
        <v>2034</v>
      </c>
      <c r="F529">
        <v>202204</v>
      </c>
      <c r="G529" t="s">
        <v>180</v>
      </c>
      <c r="H529">
        <v>4000</v>
      </c>
    </row>
    <row r="530" spans="1:8">
      <c r="A530">
        <v>5369</v>
      </c>
      <c r="B530" t="s">
        <v>2326</v>
      </c>
      <c r="C530">
        <v>5697</v>
      </c>
      <c r="D530" t="s">
        <v>2199</v>
      </c>
      <c r="E530" t="s">
        <v>2034</v>
      </c>
      <c r="F530">
        <v>202204</v>
      </c>
      <c r="G530" t="s">
        <v>182</v>
      </c>
      <c r="H530">
        <v>2302344</v>
      </c>
    </row>
    <row r="531" spans="1:8">
      <c r="A531">
        <v>5369</v>
      </c>
      <c r="B531" t="s">
        <v>2326</v>
      </c>
      <c r="C531">
        <v>5697</v>
      </c>
      <c r="D531" t="s">
        <v>2199</v>
      </c>
      <c r="E531" t="s">
        <v>2034</v>
      </c>
      <c r="F531">
        <v>202204</v>
      </c>
      <c r="G531" t="s">
        <v>184</v>
      </c>
      <c r="H531">
        <v>136785</v>
      </c>
    </row>
    <row r="532" spans="1:8">
      <c r="A532">
        <v>5369</v>
      </c>
      <c r="B532" t="s">
        <v>2326</v>
      </c>
      <c r="C532">
        <v>5697</v>
      </c>
      <c r="D532" t="s">
        <v>2199</v>
      </c>
      <c r="E532" t="s">
        <v>2034</v>
      </c>
      <c r="F532">
        <v>202204</v>
      </c>
      <c r="G532" t="s">
        <v>192</v>
      </c>
      <c r="H532">
        <v>0</v>
      </c>
    </row>
    <row r="533" spans="1:8">
      <c r="A533">
        <v>5369</v>
      </c>
      <c r="B533" t="s">
        <v>2326</v>
      </c>
      <c r="C533">
        <v>5697</v>
      </c>
      <c r="D533" t="s">
        <v>2199</v>
      </c>
      <c r="E533" t="s">
        <v>2034</v>
      </c>
      <c r="F533">
        <v>202204</v>
      </c>
      <c r="G533" t="s">
        <v>2168</v>
      </c>
      <c r="H533">
        <v>16386.830000000002</v>
      </c>
    </row>
    <row r="534" spans="1:8">
      <c r="A534">
        <v>5369</v>
      </c>
      <c r="B534" t="s">
        <v>2326</v>
      </c>
      <c r="C534">
        <v>5697</v>
      </c>
      <c r="D534" t="s">
        <v>2199</v>
      </c>
      <c r="E534" t="s">
        <v>2034</v>
      </c>
      <c r="F534">
        <v>202204</v>
      </c>
      <c r="G534" t="s">
        <v>186</v>
      </c>
      <c r="H534">
        <v>57606</v>
      </c>
    </row>
    <row r="535" spans="1:8">
      <c r="A535">
        <v>5369</v>
      </c>
      <c r="B535" t="s">
        <v>2326</v>
      </c>
      <c r="C535">
        <v>5697</v>
      </c>
      <c r="D535" t="s">
        <v>2199</v>
      </c>
      <c r="E535" t="s">
        <v>2034</v>
      </c>
      <c r="F535">
        <v>202204</v>
      </c>
      <c r="G535" t="s">
        <v>2167</v>
      </c>
      <c r="H535">
        <v>120.75</v>
      </c>
    </row>
    <row r="536" spans="1:8">
      <c r="A536">
        <v>5369</v>
      </c>
      <c r="B536" t="s">
        <v>2326</v>
      </c>
      <c r="C536">
        <v>5697</v>
      </c>
      <c r="D536" t="s">
        <v>2199</v>
      </c>
      <c r="E536" t="s">
        <v>2034</v>
      </c>
      <c r="F536">
        <v>202204</v>
      </c>
      <c r="G536" t="s">
        <v>2164</v>
      </c>
      <c r="H536">
        <v>11.83</v>
      </c>
    </row>
    <row r="537" spans="1:8">
      <c r="A537">
        <v>5369</v>
      </c>
      <c r="B537" t="s">
        <v>2326</v>
      </c>
      <c r="C537">
        <v>5697</v>
      </c>
      <c r="D537" t="s">
        <v>2199</v>
      </c>
      <c r="E537" t="s">
        <v>2034</v>
      </c>
      <c r="F537">
        <v>202204</v>
      </c>
      <c r="G537" t="s">
        <v>2165</v>
      </c>
      <c r="H537">
        <v>21.22</v>
      </c>
    </row>
    <row r="538" spans="1:8">
      <c r="A538">
        <v>5369</v>
      </c>
      <c r="B538" t="s">
        <v>2326</v>
      </c>
      <c r="C538">
        <v>5697</v>
      </c>
      <c r="D538" t="s">
        <v>2199</v>
      </c>
      <c r="E538" t="s">
        <v>2034</v>
      </c>
      <c r="F538">
        <v>202204</v>
      </c>
      <c r="G538" t="s">
        <v>2166</v>
      </c>
      <c r="H538">
        <v>14.37</v>
      </c>
    </row>
    <row r="539" spans="1:8">
      <c r="A539">
        <v>5369</v>
      </c>
      <c r="B539" t="s">
        <v>2326</v>
      </c>
      <c r="C539">
        <v>5697</v>
      </c>
      <c r="D539" t="s">
        <v>2199</v>
      </c>
      <c r="E539" t="s">
        <v>2034</v>
      </c>
      <c r="F539">
        <v>202204</v>
      </c>
      <c r="G539" t="s">
        <v>2169</v>
      </c>
      <c r="H539">
        <v>499598</v>
      </c>
    </row>
    <row r="540" spans="1:8">
      <c r="A540">
        <v>5369</v>
      </c>
      <c r="B540" t="s">
        <v>2326</v>
      </c>
      <c r="C540">
        <v>5697</v>
      </c>
      <c r="D540" t="s">
        <v>2199</v>
      </c>
      <c r="E540" t="s">
        <v>2034</v>
      </c>
      <c r="F540">
        <v>202205</v>
      </c>
      <c r="G540" t="s">
        <v>190</v>
      </c>
      <c r="H540">
        <v>1040423</v>
      </c>
    </row>
    <row r="541" spans="1:8">
      <c r="A541">
        <v>5369</v>
      </c>
      <c r="B541" t="s">
        <v>2326</v>
      </c>
      <c r="C541">
        <v>5697</v>
      </c>
      <c r="D541" t="s">
        <v>2199</v>
      </c>
      <c r="E541" t="s">
        <v>2034</v>
      </c>
      <c r="F541">
        <v>202205</v>
      </c>
      <c r="G541" t="s">
        <v>191</v>
      </c>
      <c r="H541">
        <v>91525</v>
      </c>
    </row>
    <row r="542" spans="1:8">
      <c r="A542">
        <v>5369</v>
      </c>
      <c r="B542" t="s">
        <v>2326</v>
      </c>
      <c r="C542">
        <v>5697</v>
      </c>
      <c r="D542" t="s">
        <v>2199</v>
      </c>
      <c r="E542" t="s">
        <v>2034</v>
      </c>
      <c r="F542">
        <v>202205</v>
      </c>
      <c r="G542" t="s">
        <v>176</v>
      </c>
      <c r="H542">
        <v>0</v>
      </c>
    </row>
    <row r="543" spans="1:8">
      <c r="A543">
        <v>5369</v>
      </c>
      <c r="B543" t="s">
        <v>2326</v>
      </c>
      <c r="C543">
        <v>5697</v>
      </c>
      <c r="D543" t="s">
        <v>2199</v>
      </c>
      <c r="E543" t="s">
        <v>2034</v>
      </c>
      <c r="F543">
        <v>202205</v>
      </c>
      <c r="G543" t="s">
        <v>178</v>
      </c>
      <c r="H543">
        <v>2811</v>
      </c>
    </row>
    <row r="544" spans="1:8">
      <c r="A544">
        <v>5369</v>
      </c>
      <c r="B544" t="s">
        <v>2326</v>
      </c>
      <c r="C544">
        <v>5697</v>
      </c>
      <c r="D544" t="s">
        <v>2199</v>
      </c>
      <c r="E544" t="s">
        <v>2034</v>
      </c>
      <c r="F544">
        <v>202205</v>
      </c>
      <c r="G544" t="s">
        <v>180</v>
      </c>
      <c r="H544">
        <v>2250</v>
      </c>
    </row>
    <row r="545" spans="1:8">
      <c r="A545">
        <v>5369</v>
      </c>
      <c r="B545" t="s">
        <v>2326</v>
      </c>
      <c r="C545">
        <v>5697</v>
      </c>
      <c r="D545" t="s">
        <v>2199</v>
      </c>
      <c r="E545" t="s">
        <v>2034</v>
      </c>
      <c r="F545">
        <v>202205</v>
      </c>
      <c r="G545" t="s">
        <v>182</v>
      </c>
      <c r="H545">
        <v>1040423</v>
      </c>
    </row>
    <row r="546" spans="1:8">
      <c r="A546">
        <v>5369</v>
      </c>
      <c r="B546" t="s">
        <v>2326</v>
      </c>
      <c r="C546">
        <v>5697</v>
      </c>
      <c r="D546" t="s">
        <v>2199</v>
      </c>
      <c r="E546" t="s">
        <v>2034</v>
      </c>
      <c r="F546">
        <v>202205</v>
      </c>
      <c r="G546" t="s">
        <v>184</v>
      </c>
      <c r="H546">
        <v>91525</v>
      </c>
    </row>
    <row r="547" spans="1:8">
      <c r="A547">
        <v>5369</v>
      </c>
      <c r="B547" t="s">
        <v>2326</v>
      </c>
      <c r="C547">
        <v>5697</v>
      </c>
      <c r="D547" t="s">
        <v>2199</v>
      </c>
      <c r="E547" t="s">
        <v>2034</v>
      </c>
      <c r="F547">
        <v>202205</v>
      </c>
      <c r="G547" t="s">
        <v>192</v>
      </c>
      <c r="H547">
        <v>0</v>
      </c>
    </row>
    <row r="548" spans="1:8">
      <c r="A548">
        <v>5369</v>
      </c>
      <c r="B548" t="s">
        <v>2326</v>
      </c>
      <c r="C548">
        <v>5697</v>
      </c>
      <c r="D548" t="s">
        <v>2199</v>
      </c>
      <c r="E548" t="s">
        <v>2034</v>
      </c>
      <c r="F548">
        <v>202205</v>
      </c>
      <c r="G548" t="s">
        <v>2168</v>
      </c>
      <c r="H548">
        <v>5130.74</v>
      </c>
    </row>
    <row r="549" spans="1:8">
      <c r="A549">
        <v>5369</v>
      </c>
      <c r="B549" t="s">
        <v>2326</v>
      </c>
      <c r="C549">
        <v>5697</v>
      </c>
      <c r="D549" t="s">
        <v>2199</v>
      </c>
      <c r="E549" t="s">
        <v>2034</v>
      </c>
      <c r="F549">
        <v>202205</v>
      </c>
      <c r="G549" t="s">
        <v>186</v>
      </c>
      <c r="H549">
        <v>0</v>
      </c>
    </row>
    <row r="550" spans="1:8">
      <c r="A550">
        <v>5369</v>
      </c>
      <c r="B550" t="s">
        <v>2326</v>
      </c>
      <c r="C550">
        <v>5697</v>
      </c>
      <c r="D550" t="s">
        <v>2199</v>
      </c>
      <c r="E550" t="s">
        <v>2034</v>
      </c>
      <c r="F550">
        <v>202205</v>
      </c>
      <c r="G550" t="s">
        <v>2167</v>
      </c>
      <c r="H550">
        <v>120.75</v>
      </c>
    </row>
    <row r="551" spans="1:8">
      <c r="A551">
        <v>5369</v>
      </c>
      <c r="B551" t="s">
        <v>2326</v>
      </c>
      <c r="C551">
        <v>5697</v>
      </c>
      <c r="D551" t="s">
        <v>2199</v>
      </c>
      <c r="E551" t="s">
        <v>2034</v>
      </c>
      <c r="F551">
        <v>202205</v>
      </c>
      <c r="G551" t="s">
        <v>2164</v>
      </c>
      <c r="H551">
        <v>11.83</v>
      </c>
    </row>
    <row r="552" spans="1:8">
      <c r="A552">
        <v>5369</v>
      </c>
      <c r="B552" t="s">
        <v>2326</v>
      </c>
      <c r="C552">
        <v>5697</v>
      </c>
      <c r="D552" t="s">
        <v>2199</v>
      </c>
      <c r="E552" t="s">
        <v>2034</v>
      </c>
      <c r="F552">
        <v>202205</v>
      </c>
      <c r="G552" t="s">
        <v>2165</v>
      </c>
      <c r="H552">
        <v>21.22</v>
      </c>
    </row>
    <row r="553" spans="1:8">
      <c r="A553">
        <v>5369</v>
      </c>
      <c r="B553" t="s">
        <v>2326</v>
      </c>
      <c r="C553">
        <v>5697</v>
      </c>
      <c r="D553" t="s">
        <v>2199</v>
      </c>
      <c r="E553" t="s">
        <v>2034</v>
      </c>
      <c r="F553">
        <v>202205</v>
      </c>
      <c r="G553" t="s">
        <v>2166</v>
      </c>
      <c r="H553">
        <v>14.37</v>
      </c>
    </row>
    <row r="554" spans="1:8">
      <c r="A554">
        <v>5369</v>
      </c>
      <c r="B554" t="s">
        <v>2326</v>
      </c>
      <c r="C554">
        <v>5697</v>
      </c>
      <c r="D554" t="s">
        <v>2199</v>
      </c>
      <c r="E554" t="s">
        <v>2034</v>
      </c>
      <c r="F554">
        <v>202205</v>
      </c>
      <c r="G554" t="s">
        <v>2169</v>
      </c>
      <c r="H554">
        <v>250401.09</v>
      </c>
    </row>
    <row r="555" spans="1:8">
      <c r="A555">
        <v>5369</v>
      </c>
      <c r="B555" t="s">
        <v>2326</v>
      </c>
      <c r="C555">
        <v>5697</v>
      </c>
      <c r="D555" t="s">
        <v>2199</v>
      </c>
      <c r="E555" t="s">
        <v>2034</v>
      </c>
      <c r="F555">
        <v>202205</v>
      </c>
      <c r="G555" t="s">
        <v>190</v>
      </c>
      <c r="H555">
        <v>682641</v>
      </c>
    </row>
    <row r="556" spans="1:8">
      <c r="A556">
        <v>5369</v>
      </c>
      <c r="B556" t="s">
        <v>2326</v>
      </c>
      <c r="C556">
        <v>5697</v>
      </c>
      <c r="D556" t="s">
        <v>2199</v>
      </c>
      <c r="E556" t="s">
        <v>2034</v>
      </c>
      <c r="F556">
        <v>202205</v>
      </c>
      <c r="G556" t="s">
        <v>191</v>
      </c>
      <c r="H556">
        <v>43902</v>
      </c>
    </row>
    <row r="557" spans="1:8">
      <c r="A557">
        <v>5369</v>
      </c>
      <c r="B557" t="s">
        <v>2326</v>
      </c>
      <c r="C557">
        <v>5697</v>
      </c>
      <c r="D557" t="s">
        <v>2199</v>
      </c>
      <c r="E557" t="s">
        <v>2034</v>
      </c>
      <c r="F557">
        <v>202205</v>
      </c>
      <c r="G557" t="s">
        <v>176</v>
      </c>
      <c r="H557">
        <v>0</v>
      </c>
    </row>
    <row r="558" spans="1:8">
      <c r="A558">
        <v>5369</v>
      </c>
      <c r="B558" t="s">
        <v>2326</v>
      </c>
      <c r="C558">
        <v>5697</v>
      </c>
      <c r="D558" t="s">
        <v>2199</v>
      </c>
      <c r="E558" t="s">
        <v>2034</v>
      </c>
      <c r="F558">
        <v>202205</v>
      </c>
      <c r="G558" t="s">
        <v>178</v>
      </c>
      <c r="H558">
        <v>2409</v>
      </c>
    </row>
    <row r="559" spans="1:8">
      <c r="A559">
        <v>5369</v>
      </c>
      <c r="B559" t="s">
        <v>2326</v>
      </c>
      <c r="C559">
        <v>5697</v>
      </c>
      <c r="D559" t="s">
        <v>2199</v>
      </c>
      <c r="E559" t="s">
        <v>2034</v>
      </c>
      <c r="F559">
        <v>202205</v>
      </c>
      <c r="G559" t="s">
        <v>180</v>
      </c>
      <c r="H559">
        <v>1550</v>
      </c>
    </row>
    <row r="560" spans="1:8">
      <c r="A560">
        <v>5369</v>
      </c>
      <c r="B560" t="s">
        <v>2326</v>
      </c>
      <c r="C560">
        <v>5697</v>
      </c>
      <c r="D560" t="s">
        <v>2199</v>
      </c>
      <c r="E560" t="s">
        <v>2034</v>
      </c>
      <c r="F560">
        <v>202205</v>
      </c>
      <c r="G560" t="s">
        <v>182</v>
      </c>
      <c r="H560">
        <v>682641</v>
      </c>
    </row>
    <row r="561" spans="1:8">
      <c r="A561">
        <v>5369</v>
      </c>
      <c r="B561" t="s">
        <v>2326</v>
      </c>
      <c r="C561">
        <v>5697</v>
      </c>
      <c r="D561" t="s">
        <v>2199</v>
      </c>
      <c r="E561" t="s">
        <v>2034</v>
      </c>
      <c r="F561">
        <v>202205</v>
      </c>
      <c r="G561" t="s">
        <v>184</v>
      </c>
      <c r="H561">
        <v>43902</v>
      </c>
    </row>
    <row r="562" spans="1:8">
      <c r="A562">
        <v>5369</v>
      </c>
      <c r="B562" t="s">
        <v>2326</v>
      </c>
      <c r="C562">
        <v>5697</v>
      </c>
      <c r="D562" t="s">
        <v>2199</v>
      </c>
      <c r="E562" t="s">
        <v>2034</v>
      </c>
      <c r="F562">
        <v>202205</v>
      </c>
      <c r="G562" t="s">
        <v>192</v>
      </c>
      <c r="H562">
        <v>0</v>
      </c>
    </row>
    <row r="563" spans="1:8">
      <c r="A563">
        <v>5369</v>
      </c>
      <c r="B563" t="s">
        <v>2326</v>
      </c>
      <c r="C563">
        <v>5697</v>
      </c>
      <c r="D563" t="s">
        <v>2199</v>
      </c>
      <c r="E563" t="s">
        <v>2034</v>
      </c>
      <c r="F563">
        <v>202205</v>
      </c>
      <c r="G563" t="s">
        <v>2168</v>
      </c>
      <c r="H563">
        <v>3489.28</v>
      </c>
    </row>
    <row r="564" spans="1:8">
      <c r="A564">
        <v>5369</v>
      </c>
      <c r="B564" t="s">
        <v>2326</v>
      </c>
      <c r="C564">
        <v>5697</v>
      </c>
      <c r="D564" t="s">
        <v>2199</v>
      </c>
      <c r="E564" t="s">
        <v>2034</v>
      </c>
      <c r="F564">
        <v>202205</v>
      </c>
      <c r="G564" t="s">
        <v>186</v>
      </c>
      <c r="H564">
        <v>0</v>
      </c>
    </row>
    <row r="565" spans="1:8">
      <c r="A565">
        <v>5369</v>
      </c>
      <c r="B565" t="s">
        <v>2326</v>
      </c>
      <c r="C565">
        <v>5697</v>
      </c>
      <c r="D565" t="s">
        <v>2199</v>
      </c>
      <c r="E565" t="s">
        <v>2034</v>
      </c>
      <c r="F565">
        <v>202205</v>
      </c>
      <c r="G565" t="s">
        <v>2167</v>
      </c>
      <c r="H565">
        <v>120.75</v>
      </c>
    </row>
    <row r="566" spans="1:8">
      <c r="A566">
        <v>5369</v>
      </c>
      <c r="B566" t="s">
        <v>2326</v>
      </c>
      <c r="C566">
        <v>5697</v>
      </c>
      <c r="D566" t="s">
        <v>2199</v>
      </c>
      <c r="E566" t="s">
        <v>2034</v>
      </c>
      <c r="F566">
        <v>202205</v>
      </c>
      <c r="G566" t="s">
        <v>2164</v>
      </c>
      <c r="H566">
        <v>11.83</v>
      </c>
    </row>
    <row r="567" spans="1:8">
      <c r="A567">
        <v>5369</v>
      </c>
      <c r="B567" t="s">
        <v>2326</v>
      </c>
      <c r="C567">
        <v>5697</v>
      </c>
      <c r="D567" t="s">
        <v>2199</v>
      </c>
      <c r="E567" t="s">
        <v>2034</v>
      </c>
      <c r="F567">
        <v>202205</v>
      </c>
      <c r="G567" t="s">
        <v>2165</v>
      </c>
      <c r="H567">
        <v>21.22</v>
      </c>
    </row>
    <row r="568" spans="1:8">
      <c r="A568">
        <v>5369</v>
      </c>
      <c r="B568" t="s">
        <v>2326</v>
      </c>
      <c r="C568">
        <v>5697</v>
      </c>
      <c r="D568" t="s">
        <v>2199</v>
      </c>
      <c r="E568" t="s">
        <v>2034</v>
      </c>
      <c r="F568">
        <v>202205</v>
      </c>
      <c r="G568" t="s">
        <v>2166</v>
      </c>
      <c r="H568">
        <v>14.37</v>
      </c>
    </row>
    <row r="569" spans="1:8">
      <c r="A569">
        <v>5369</v>
      </c>
      <c r="B569" t="s">
        <v>2326</v>
      </c>
      <c r="C569">
        <v>5697</v>
      </c>
      <c r="D569" t="s">
        <v>2199</v>
      </c>
      <c r="E569" t="s">
        <v>2034</v>
      </c>
      <c r="F569">
        <v>202205</v>
      </c>
      <c r="G569" t="s">
        <v>2169</v>
      </c>
      <c r="H569">
        <v>163050.64000000001</v>
      </c>
    </row>
    <row r="570" spans="1:8">
      <c r="A570">
        <v>5369</v>
      </c>
      <c r="B570" t="s">
        <v>2326</v>
      </c>
      <c r="C570">
        <v>5697</v>
      </c>
      <c r="D570" t="s">
        <v>2199</v>
      </c>
      <c r="E570" t="s">
        <v>2034</v>
      </c>
      <c r="F570">
        <v>202205</v>
      </c>
      <c r="G570" t="s">
        <v>190</v>
      </c>
      <c r="H570">
        <v>1983236</v>
      </c>
    </row>
    <row r="571" spans="1:8">
      <c r="A571">
        <v>5369</v>
      </c>
      <c r="B571" t="s">
        <v>2326</v>
      </c>
      <c r="C571">
        <v>5697</v>
      </c>
      <c r="D571" t="s">
        <v>2199</v>
      </c>
      <c r="E571" t="s">
        <v>2034</v>
      </c>
      <c r="F571">
        <v>202205</v>
      </c>
      <c r="G571" t="s">
        <v>191</v>
      </c>
      <c r="H571">
        <v>114812</v>
      </c>
    </row>
    <row r="572" spans="1:8">
      <c r="A572">
        <v>5369</v>
      </c>
      <c r="B572" t="s">
        <v>2326</v>
      </c>
      <c r="C572">
        <v>5697</v>
      </c>
      <c r="D572" t="s">
        <v>2199</v>
      </c>
      <c r="E572" t="s">
        <v>2034</v>
      </c>
      <c r="F572">
        <v>202205</v>
      </c>
      <c r="G572" t="s">
        <v>176</v>
      </c>
      <c r="H572">
        <v>0</v>
      </c>
    </row>
    <row r="573" spans="1:8">
      <c r="A573">
        <v>5369</v>
      </c>
      <c r="B573" t="s">
        <v>2326</v>
      </c>
      <c r="C573">
        <v>5697</v>
      </c>
      <c r="D573" t="s">
        <v>2199</v>
      </c>
      <c r="E573" t="s">
        <v>2034</v>
      </c>
      <c r="F573">
        <v>202205</v>
      </c>
      <c r="G573" t="s">
        <v>178</v>
      </c>
      <c r="H573">
        <v>6400</v>
      </c>
    </row>
    <row r="574" spans="1:8">
      <c r="A574">
        <v>5369</v>
      </c>
      <c r="B574" t="s">
        <v>2326</v>
      </c>
      <c r="C574">
        <v>5697</v>
      </c>
      <c r="D574" t="s">
        <v>2199</v>
      </c>
      <c r="E574" t="s">
        <v>2034</v>
      </c>
      <c r="F574">
        <v>202205</v>
      </c>
      <c r="G574" t="s">
        <v>180</v>
      </c>
      <c r="H574">
        <v>4000</v>
      </c>
    </row>
    <row r="575" spans="1:8">
      <c r="A575">
        <v>5369</v>
      </c>
      <c r="B575" t="s">
        <v>2326</v>
      </c>
      <c r="C575">
        <v>5697</v>
      </c>
      <c r="D575" t="s">
        <v>2199</v>
      </c>
      <c r="E575" t="s">
        <v>2034</v>
      </c>
      <c r="F575">
        <v>202205</v>
      </c>
      <c r="G575" t="s">
        <v>182</v>
      </c>
      <c r="H575">
        <v>2038663</v>
      </c>
    </row>
    <row r="576" spans="1:8">
      <c r="A576">
        <v>5369</v>
      </c>
      <c r="B576" t="s">
        <v>2326</v>
      </c>
      <c r="C576">
        <v>5697</v>
      </c>
      <c r="D576" t="s">
        <v>2199</v>
      </c>
      <c r="E576" t="s">
        <v>2034</v>
      </c>
      <c r="F576">
        <v>202205</v>
      </c>
      <c r="G576" t="s">
        <v>184</v>
      </c>
      <c r="H576">
        <v>114812</v>
      </c>
    </row>
    <row r="577" spans="1:8">
      <c r="A577">
        <v>5369</v>
      </c>
      <c r="B577" t="s">
        <v>2326</v>
      </c>
      <c r="C577">
        <v>5697</v>
      </c>
      <c r="D577" t="s">
        <v>2199</v>
      </c>
      <c r="E577" t="s">
        <v>2034</v>
      </c>
      <c r="F577">
        <v>202205</v>
      </c>
      <c r="G577" t="s">
        <v>192</v>
      </c>
      <c r="H577">
        <v>0</v>
      </c>
    </row>
    <row r="578" spans="1:8">
      <c r="A578">
        <v>5369</v>
      </c>
      <c r="B578" t="s">
        <v>2326</v>
      </c>
      <c r="C578">
        <v>5697</v>
      </c>
      <c r="D578" t="s">
        <v>2199</v>
      </c>
      <c r="E578" t="s">
        <v>2034</v>
      </c>
      <c r="F578">
        <v>202205</v>
      </c>
      <c r="G578" t="s">
        <v>2168</v>
      </c>
      <c r="H578">
        <v>9728.56</v>
      </c>
    </row>
    <row r="579" spans="1:8">
      <c r="A579">
        <v>5369</v>
      </c>
      <c r="B579" t="s">
        <v>2326</v>
      </c>
      <c r="C579">
        <v>5697</v>
      </c>
      <c r="D579" t="s">
        <v>2199</v>
      </c>
      <c r="E579" t="s">
        <v>2034</v>
      </c>
      <c r="F579">
        <v>202205</v>
      </c>
      <c r="G579" t="s">
        <v>186</v>
      </c>
      <c r="H579">
        <v>55427</v>
      </c>
    </row>
    <row r="580" spans="1:8">
      <c r="A580">
        <v>5369</v>
      </c>
      <c r="B580" t="s">
        <v>2326</v>
      </c>
      <c r="C580">
        <v>5697</v>
      </c>
      <c r="D580" t="s">
        <v>2199</v>
      </c>
      <c r="E580" t="s">
        <v>2034</v>
      </c>
      <c r="F580">
        <v>202205</v>
      </c>
      <c r="G580" t="s">
        <v>2167</v>
      </c>
      <c r="H580">
        <v>120.75</v>
      </c>
    </row>
    <row r="581" spans="1:8">
      <c r="A581">
        <v>5369</v>
      </c>
      <c r="B581" t="s">
        <v>2326</v>
      </c>
      <c r="C581">
        <v>5697</v>
      </c>
      <c r="D581" t="s">
        <v>2199</v>
      </c>
      <c r="E581" t="s">
        <v>2034</v>
      </c>
      <c r="F581">
        <v>202205</v>
      </c>
      <c r="G581" t="s">
        <v>2164</v>
      </c>
      <c r="H581">
        <v>11.83</v>
      </c>
    </row>
    <row r="582" spans="1:8">
      <c r="A582">
        <v>5369</v>
      </c>
      <c r="B582" t="s">
        <v>2326</v>
      </c>
      <c r="C582">
        <v>5697</v>
      </c>
      <c r="D582" t="s">
        <v>2199</v>
      </c>
      <c r="E582" t="s">
        <v>2034</v>
      </c>
      <c r="F582">
        <v>202205</v>
      </c>
      <c r="G582" t="s">
        <v>2165</v>
      </c>
      <c r="H582">
        <v>21.22</v>
      </c>
    </row>
    <row r="583" spans="1:8">
      <c r="A583">
        <v>5369</v>
      </c>
      <c r="B583" t="s">
        <v>2326</v>
      </c>
      <c r="C583">
        <v>5697</v>
      </c>
      <c r="D583" t="s">
        <v>2199</v>
      </c>
      <c r="E583" t="s">
        <v>2034</v>
      </c>
      <c r="F583">
        <v>202205</v>
      </c>
      <c r="G583" t="s">
        <v>2166</v>
      </c>
      <c r="H583">
        <v>14.37</v>
      </c>
    </row>
    <row r="584" spans="1:8">
      <c r="A584">
        <v>5369</v>
      </c>
      <c r="B584" t="s">
        <v>2326</v>
      </c>
      <c r="C584">
        <v>5697</v>
      </c>
      <c r="D584" t="s">
        <v>2199</v>
      </c>
      <c r="E584" t="s">
        <v>2034</v>
      </c>
      <c r="F584">
        <v>202205</v>
      </c>
      <c r="G584" t="s">
        <v>2169</v>
      </c>
      <c r="H584">
        <v>454605.26</v>
      </c>
    </row>
    <row r="585" spans="1:8">
      <c r="A585">
        <v>5369</v>
      </c>
      <c r="B585" t="s">
        <v>2326</v>
      </c>
      <c r="C585">
        <v>5697</v>
      </c>
      <c r="D585" t="s">
        <v>2199</v>
      </c>
      <c r="E585" t="s">
        <v>2034</v>
      </c>
      <c r="F585">
        <v>202206</v>
      </c>
      <c r="G585" t="s">
        <v>190</v>
      </c>
      <c r="H585">
        <v>2110311</v>
      </c>
    </row>
    <row r="586" spans="1:8">
      <c r="A586">
        <v>5369</v>
      </c>
      <c r="B586" t="s">
        <v>2326</v>
      </c>
      <c r="C586">
        <v>5697</v>
      </c>
      <c r="D586" t="s">
        <v>2199</v>
      </c>
      <c r="E586" t="s">
        <v>2034</v>
      </c>
      <c r="F586">
        <v>202206</v>
      </c>
      <c r="G586" t="s">
        <v>191</v>
      </c>
      <c r="H586">
        <v>135270</v>
      </c>
    </row>
    <row r="587" spans="1:8">
      <c r="A587">
        <v>5369</v>
      </c>
      <c r="B587" t="s">
        <v>2326</v>
      </c>
      <c r="C587">
        <v>5697</v>
      </c>
      <c r="D587" t="s">
        <v>2199</v>
      </c>
      <c r="E587" t="s">
        <v>2034</v>
      </c>
      <c r="F587">
        <v>202206</v>
      </c>
      <c r="G587" t="s">
        <v>176</v>
      </c>
      <c r="H587">
        <v>0</v>
      </c>
    </row>
    <row r="588" spans="1:8">
      <c r="A588">
        <v>5369</v>
      </c>
      <c r="B588" t="s">
        <v>2326</v>
      </c>
      <c r="C588">
        <v>5697</v>
      </c>
      <c r="D588" t="s">
        <v>2199</v>
      </c>
      <c r="E588" t="s">
        <v>2034</v>
      </c>
      <c r="F588">
        <v>202206</v>
      </c>
      <c r="G588" t="s">
        <v>178</v>
      </c>
      <c r="H588">
        <v>7177</v>
      </c>
    </row>
    <row r="589" spans="1:8">
      <c r="A589">
        <v>5369</v>
      </c>
      <c r="B589" t="s">
        <v>2326</v>
      </c>
      <c r="C589">
        <v>5697</v>
      </c>
      <c r="D589" t="s">
        <v>2199</v>
      </c>
      <c r="E589" t="s">
        <v>2034</v>
      </c>
      <c r="F589">
        <v>202206</v>
      </c>
      <c r="G589" t="s">
        <v>180</v>
      </c>
      <c r="H589">
        <v>4000</v>
      </c>
    </row>
    <row r="590" spans="1:8">
      <c r="A590">
        <v>5369</v>
      </c>
      <c r="B590" t="s">
        <v>2326</v>
      </c>
      <c r="C590">
        <v>5697</v>
      </c>
      <c r="D590" t="s">
        <v>2199</v>
      </c>
      <c r="E590" t="s">
        <v>2034</v>
      </c>
      <c r="F590">
        <v>202206</v>
      </c>
      <c r="G590" t="s">
        <v>182</v>
      </c>
      <c r="H590">
        <v>2173184</v>
      </c>
    </row>
    <row r="591" spans="1:8">
      <c r="A591">
        <v>5369</v>
      </c>
      <c r="B591" t="s">
        <v>2326</v>
      </c>
      <c r="C591">
        <v>5697</v>
      </c>
      <c r="D591" t="s">
        <v>2199</v>
      </c>
      <c r="E591" t="s">
        <v>2034</v>
      </c>
      <c r="F591">
        <v>202206</v>
      </c>
      <c r="G591" t="s">
        <v>184</v>
      </c>
      <c r="H591">
        <v>135270</v>
      </c>
    </row>
    <row r="592" spans="1:8">
      <c r="A592">
        <v>5369</v>
      </c>
      <c r="B592" t="s">
        <v>2326</v>
      </c>
      <c r="C592">
        <v>5697</v>
      </c>
      <c r="D592" t="s">
        <v>2199</v>
      </c>
      <c r="E592" t="s">
        <v>2034</v>
      </c>
      <c r="F592">
        <v>202206</v>
      </c>
      <c r="G592" t="s">
        <v>192</v>
      </c>
      <c r="H592">
        <v>0</v>
      </c>
    </row>
    <row r="593" spans="1:8">
      <c r="A593">
        <v>5369</v>
      </c>
      <c r="B593" t="s">
        <v>2326</v>
      </c>
      <c r="C593">
        <v>5697</v>
      </c>
      <c r="D593" t="s">
        <v>2199</v>
      </c>
      <c r="E593" t="s">
        <v>2034</v>
      </c>
      <c r="F593">
        <v>202206</v>
      </c>
      <c r="G593" t="s">
        <v>2168</v>
      </c>
      <c r="H593">
        <v>16018.08</v>
      </c>
    </row>
    <row r="594" spans="1:8">
      <c r="A594">
        <v>5369</v>
      </c>
      <c r="B594" t="s">
        <v>2326</v>
      </c>
      <c r="C594">
        <v>5697</v>
      </c>
      <c r="D594" t="s">
        <v>2199</v>
      </c>
      <c r="E594" t="s">
        <v>2034</v>
      </c>
      <c r="F594">
        <v>202206</v>
      </c>
      <c r="G594" t="s">
        <v>186</v>
      </c>
      <c r="H594">
        <v>62873</v>
      </c>
    </row>
    <row r="595" spans="1:8">
      <c r="A595">
        <v>5369</v>
      </c>
      <c r="B595" t="s">
        <v>2326</v>
      </c>
      <c r="C595">
        <v>5697</v>
      </c>
      <c r="D595" t="s">
        <v>2199</v>
      </c>
      <c r="E595" t="s">
        <v>2034</v>
      </c>
      <c r="F595">
        <v>202206</v>
      </c>
      <c r="G595" t="s">
        <v>2167</v>
      </c>
      <c r="H595">
        <v>120.75</v>
      </c>
    </row>
    <row r="596" spans="1:8">
      <c r="A596">
        <v>5369</v>
      </c>
      <c r="B596" t="s">
        <v>2326</v>
      </c>
      <c r="C596">
        <v>5697</v>
      </c>
      <c r="D596" t="s">
        <v>2199</v>
      </c>
      <c r="E596" t="s">
        <v>2034</v>
      </c>
      <c r="F596">
        <v>202206</v>
      </c>
      <c r="G596" t="s">
        <v>2164</v>
      </c>
      <c r="H596">
        <v>11.83</v>
      </c>
    </row>
    <row r="597" spans="1:8">
      <c r="A597">
        <v>5369</v>
      </c>
      <c r="B597" t="s">
        <v>2326</v>
      </c>
      <c r="C597">
        <v>5697</v>
      </c>
      <c r="D597" t="s">
        <v>2199</v>
      </c>
      <c r="E597" t="s">
        <v>2034</v>
      </c>
      <c r="F597">
        <v>202206</v>
      </c>
      <c r="G597" t="s">
        <v>2165</v>
      </c>
      <c r="H597">
        <v>21.22</v>
      </c>
    </row>
    <row r="598" spans="1:8">
      <c r="A598">
        <v>5369</v>
      </c>
      <c r="B598" t="s">
        <v>2326</v>
      </c>
      <c r="C598">
        <v>5697</v>
      </c>
      <c r="D598" t="s">
        <v>2199</v>
      </c>
      <c r="E598" t="s">
        <v>2034</v>
      </c>
      <c r="F598">
        <v>202206</v>
      </c>
      <c r="G598" t="s">
        <v>2166</v>
      </c>
      <c r="H598">
        <v>14.37</v>
      </c>
    </row>
    <row r="599" spans="1:8">
      <c r="A599">
        <v>5369</v>
      </c>
      <c r="B599" t="s">
        <v>2326</v>
      </c>
      <c r="C599">
        <v>5697</v>
      </c>
      <c r="D599" t="s">
        <v>2199</v>
      </c>
      <c r="E599" t="s">
        <v>2034</v>
      </c>
      <c r="F599">
        <v>202206</v>
      </c>
      <c r="G599" t="s">
        <v>2169</v>
      </c>
      <c r="H599">
        <v>508510.75</v>
      </c>
    </row>
    <row r="600" spans="1:8">
      <c r="A600">
        <v>5369</v>
      </c>
      <c r="B600" t="s">
        <v>2326</v>
      </c>
      <c r="C600">
        <v>5697</v>
      </c>
      <c r="D600" t="s">
        <v>2199</v>
      </c>
      <c r="E600" t="s">
        <v>2034</v>
      </c>
      <c r="F600">
        <v>202206</v>
      </c>
      <c r="G600" t="s">
        <v>190</v>
      </c>
      <c r="H600">
        <v>1047697</v>
      </c>
    </row>
    <row r="601" spans="1:8">
      <c r="A601">
        <v>5369</v>
      </c>
      <c r="B601" t="s">
        <v>2326</v>
      </c>
      <c r="C601">
        <v>5697</v>
      </c>
      <c r="D601" t="s">
        <v>2199</v>
      </c>
      <c r="E601" t="s">
        <v>2034</v>
      </c>
      <c r="F601">
        <v>202206</v>
      </c>
      <c r="G601" t="s">
        <v>191</v>
      </c>
      <c r="H601">
        <v>103268</v>
      </c>
    </row>
    <row r="602" spans="1:8">
      <c r="A602">
        <v>5369</v>
      </c>
      <c r="B602" t="s">
        <v>2326</v>
      </c>
      <c r="C602">
        <v>5697</v>
      </c>
      <c r="D602" t="s">
        <v>2199</v>
      </c>
      <c r="E602" t="s">
        <v>2034</v>
      </c>
      <c r="F602">
        <v>202206</v>
      </c>
      <c r="G602" t="s">
        <v>176</v>
      </c>
      <c r="H602">
        <v>0</v>
      </c>
    </row>
    <row r="603" spans="1:8">
      <c r="A603">
        <v>5369</v>
      </c>
      <c r="B603" t="s">
        <v>2326</v>
      </c>
      <c r="C603">
        <v>5697</v>
      </c>
      <c r="D603" t="s">
        <v>2199</v>
      </c>
      <c r="E603" t="s">
        <v>2034</v>
      </c>
      <c r="F603">
        <v>202206</v>
      </c>
      <c r="G603" t="s">
        <v>178</v>
      </c>
      <c r="H603">
        <v>2856</v>
      </c>
    </row>
    <row r="604" spans="1:8">
      <c r="A604">
        <v>5369</v>
      </c>
      <c r="B604" t="s">
        <v>2326</v>
      </c>
      <c r="C604">
        <v>5697</v>
      </c>
      <c r="D604" t="s">
        <v>2199</v>
      </c>
      <c r="E604" t="s">
        <v>2034</v>
      </c>
      <c r="F604">
        <v>202206</v>
      </c>
      <c r="G604" t="s">
        <v>180</v>
      </c>
      <c r="H604">
        <v>2250</v>
      </c>
    </row>
    <row r="605" spans="1:8">
      <c r="A605">
        <v>5369</v>
      </c>
      <c r="B605" t="s">
        <v>2326</v>
      </c>
      <c r="C605">
        <v>5697</v>
      </c>
      <c r="D605" t="s">
        <v>2199</v>
      </c>
      <c r="E605" t="s">
        <v>2034</v>
      </c>
      <c r="F605">
        <v>202206</v>
      </c>
      <c r="G605" t="s">
        <v>182</v>
      </c>
      <c r="H605">
        <v>1047697</v>
      </c>
    </row>
    <row r="606" spans="1:8">
      <c r="A606">
        <v>5369</v>
      </c>
      <c r="B606" t="s">
        <v>2326</v>
      </c>
      <c r="C606">
        <v>5697</v>
      </c>
      <c r="D606" t="s">
        <v>2199</v>
      </c>
      <c r="E606" t="s">
        <v>2034</v>
      </c>
      <c r="F606">
        <v>202206</v>
      </c>
      <c r="G606" t="s">
        <v>184</v>
      </c>
      <c r="H606">
        <v>103268</v>
      </c>
    </row>
    <row r="607" spans="1:8">
      <c r="A607">
        <v>5369</v>
      </c>
      <c r="B607" t="s">
        <v>2326</v>
      </c>
      <c r="C607">
        <v>5697</v>
      </c>
      <c r="D607" t="s">
        <v>2199</v>
      </c>
      <c r="E607" t="s">
        <v>2034</v>
      </c>
      <c r="F607">
        <v>202206</v>
      </c>
      <c r="G607" t="s">
        <v>192</v>
      </c>
      <c r="H607">
        <v>0</v>
      </c>
    </row>
    <row r="608" spans="1:8">
      <c r="A608">
        <v>5369</v>
      </c>
      <c r="B608" t="s">
        <v>2326</v>
      </c>
      <c r="C608">
        <v>5697</v>
      </c>
      <c r="D608" t="s">
        <v>2199</v>
      </c>
      <c r="E608" t="s">
        <v>2034</v>
      </c>
      <c r="F608">
        <v>202206</v>
      </c>
      <c r="G608" t="s">
        <v>2168</v>
      </c>
      <c r="H608">
        <v>7727.67</v>
      </c>
    </row>
    <row r="609" spans="1:8">
      <c r="A609">
        <v>5369</v>
      </c>
      <c r="B609" t="s">
        <v>2326</v>
      </c>
      <c r="C609">
        <v>5697</v>
      </c>
      <c r="D609" t="s">
        <v>2199</v>
      </c>
      <c r="E609" t="s">
        <v>2034</v>
      </c>
      <c r="F609">
        <v>202206</v>
      </c>
      <c r="G609" t="s">
        <v>186</v>
      </c>
      <c r="H609">
        <v>0</v>
      </c>
    </row>
    <row r="610" spans="1:8">
      <c r="A610">
        <v>5369</v>
      </c>
      <c r="B610" t="s">
        <v>2326</v>
      </c>
      <c r="C610">
        <v>5697</v>
      </c>
      <c r="D610" t="s">
        <v>2199</v>
      </c>
      <c r="E610" t="s">
        <v>2034</v>
      </c>
      <c r="F610">
        <v>202206</v>
      </c>
      <c r="G610" t="s">
        <v>2167</v>
      </c>
      <c r="H610">
        <v>120.75</v>
      </c>
    </row>
    <row r="611" spans="1:8">
      <c r="A611">
        <v>5369</v>
      </c>
      <c r="B611" t="s">
        <v>2326</v>
      </c>
      <c r="C611">
        <v>5697</v>
      </c>
      <c r="D611" t="s">
        <v>2199</v>
      </c>
      <c r="E611" t="s">
        <v>2034</v>
      </c>
      <c r="F611">
        <v>202206</v>
      </c>
      <c r="G611" t="s">
        <v>2164</v>
      </c>
      <c r="H611">
        <v>11.83</v>
      </c>
    </row>
    <row r="612" spans="1:8">
      <c r="A612">
        <v>5369</v>
      </c>
      <c r="B612" t="s">
        <v>2326</v>
      </c>
      <c r="C612">
        <v>5697</v>
      </c>
      <c r="D612" t="s">
        <v>2199</v>
      </c>
      <c r="E612" t="s">
        <v>2034</v>
      </c>
      <c r="F612">
        <v>202206</v>
      </c>
      <c r="G612" t="s">
        <v>2165</v>
      </c>
      <c r="H612">
        <v>21.22</v>
      </c>
    </row>
    <row r="613" spans="1:8">
      <c r="A613">
        <v>5369</v>
      </c>
      <c r="B613" t="s">
        <v>2326</v>
      </c>
      <c r="C613">
        <v>5697</v>
      </c>
      <c r="D613" t="s">
        <v>2199</v>
      </c>
      <c r="E613" t="s">
        <v>2034</v>
      </c>
      <c r="F613">
        <v>202206</v>
      </c>
      <c r="G613" t="s">
        <v>2166</v>
      </c>
      <c r="H613">
        <v>14.37</v>
      </c>
    </row>
    <row r="614" spans="1:8">
      <c r="A614">
        <v>5369</v>
      </c>
      <c r="B614" t="s">
        <v>2326</v>
      </c>
      <c r="C614">
        <v>5697</v>
      </c>
      <c r="D614" t="s">
        <v>2199</v>
      </c>
      <c r="E614" t="s">
        <v>2034</v>
      </c>
      <c r="F614">
        <v>202206</v>
      </c>
      <c r="G614" t="s">
        <v>2169</v>
      </c>
      <c r="H614">
        <v>245322.95</v>
      </c>
    </row>
    <row r="615" spans="1:8">
      <c r="A615">
        <v>5369</v>
      </c>
      <c r="B615" t="s">
        <v>2326</v>
      </c>
      <c r="C615">
        <v>5697</v>
      </c>
      <c r="D615" t="s">
        <v>2199</v>
      </c>
      <c r="E615" t="s">
        <v>2034</v>
      </c>
      <c r="F615">
        <v>202206</v>
      </c>
      <c r="G615" t="s">
        <v>190</v>
      </c>
      <c r="H615">
        <v>736488</v>
      </c>
    </row>
    <row r="616" spans="1:8">
      <c r="A616">
        <v>5369</v>
      </c>
      <c r="B616" t="s">
        <v>2326</v>
      </c>
      <c r="C616">
        <v>5697</v>
      </c>
      <c r="D616" t="s">
        <v>2199</v>
      </c>
      <c r="E616" t="s">
        <v>2034</v>
      </c>
      <c r="F616">
        <v>202206</v>
      </c>
      <c r="G616" t="s">
        <v>191</v>
      </c>
      <c r="H616">
        <v>55781</v>
      </c>
    </row>
    <row r="617" spans="1:8">
      <c r="A617">
        <v>5369</v>
      </c>
      <c r="B617" t="s">
        <v>2326</v>
      </c>
      <c r="C617">
        <v>5697</v>
      </c>
      <c r="D617" t="s">
        <v>2199</v>
      </c>
      <c r="E617" t="s">
        <v>2034</v>
      </c>
      <c r="F617">
        <v>202206</v>
      </c>
      <c r="G617" t="s">
        <v>176</v>
      </c>
      <c r="H617">
        <v>0</v>
      </c>
    </row>
    <row r="618" spans="1:8">
      <c r="A618">
        <v>5369</v>
      </c>
      <c r="B618" t="s">
        <v>2326</v>
      </c>
      <c r="C618">
        <v>5697</v>
      </c>
      <c r="D618" t="s">
        <v>2199</v>
      </c>
      <c r="E618" t="s">
        <v>2034</v>
      </c>
      <c r="F618">
        <v>202206</v>
      </c>
      <c r="G618" t="s">
        <v>178</v>
      </c>
      <c r="H618">
        <v>2463</v>
      </c>
    </row>
    <row r="619" spans="1:8">
      <c r="A619">
        <v>5369</v>
      </c>
      <c r="B619" t="s">
        <v>2326</v>
      </c>
      <c r="C619">
        <v>5697</v>
      </c>
      <c r="D619" t="s">
        <v>2199</v>
      </c>
      <c r="E619" t="s">
        <v>2034</v>
      </c>
      <c r="F619">
        <v>202206</v>
      </c>
      <c r="G619" t="s">
        <v>180</v>
      </c>
      <c r="H619">
        <v>1550</v>
      </c>
    </row>
    <row r="620" spans="1:8">
      <c r="A620">
        <v>5369</v>
      </c>
      <c r="B620" t="s">
        <v>2326</v>
      </c>
      <c r="C620">
        <v>5697</v>
      </c>
      <c r="D620" t="s">
        <v>2199</v>
      </c>
      <c r="E620" t="s">
        <v>2034</v>
      </c>
      <c r="F620">
        <v>202206</v>
      </c>
      <c r="G620" t="s">
        <v>182</v>
      </c>
      <c r="H620">
        <v>736488</v>
      </c>
    </row>
    <row r="621" spans="1:8">
      <c r="A621">
        <v>5369</v>
      </c>
      <c r="B621" t="s">
        <v>2326</v>
      </c>
      <c r="C621">
        <v>5697</v>
      </c>
      <c r="D621" t="s">
        <v>2199</v>
      </c>
      <c r="E621" t="s">
        <v>2034</v>
      </c>
      <c r="F621">
        <v>202206</v>
      </c>
      <c r="G621" t="s">
        <v>184</v>
      </c>
      <c r="H621">
        <v>55781</v>
      </c>
    </row>
    <row r="622" spans="1:8">
      <c r="A622">
        <v>5369</v>
      </c>
      <c r="B622" t="s">
        <v>2326</v>
      </c>
      <c r="C622">
        <v>5697</v>
      </c>
      <c r="D622" t="s">
        <v>2199</v>
      </c>
      <c r="E622" t="s">
        <v>2034</v>
      </c>
      <c r="F622">
        <v>202206</v>
      </c>
      <c r="G622" t="s">
        <v>192</v>
      </c>
      <c r="H622">
        <v>0</v>
      </c>
    </row>
    <row r="623" spans="1:8">
      <c r="A623">
        <v>5369</v>
      </c>
      <c r="B623" t="s">
        <v>2326</v>
      </c>
      <c r="C623">
        <v>5697</v>
      </c>
      <c r="D623" t="s">
        <v>2199</v>
      </c>
      <c r="E623" t="s">
        <v>2034</v>
      </c>
      <c r="F623">
        <v>202206</v>
      </c>
      <c r="G623" t="s">
        <v>2168</v>
      </c>
      <c r="H623">
        <v>5499.17</v>
      </c>
    </row>
    <row r="624" spans="1:8">
      <c r="A624">
        <v>5369</v>
      </c>
      <c r="B624" t="s">
        <v>2326</v>
      </c>
      <c r="C624">
        <v>5697</v>
      </c>
      <c r="D624" t="s">
        <v>2199</v>
      </c>
      <c r="E624" t="s">
        <v>2034</v>
      </c>
      <c r="F624">
        <v>202206</v>
      </c>
      <c r="G624" t="s">
        <v>186</v>
      </c>
      <c r="H624">
        <v>0</v>
      </c>
    </row>
    <row r="625" spans="1:8">
      <c r="A625">
        <v>5369</v>
      </c>
      <c r="B625" t="s">
        <v>2326</v>
      </c>
      <c r="C625">
        <v>5697</v>
      </c>
      <c r="D625" t="s">
        <v>2199</v>
      </c>
      <c r="E625" t="s">
        <v>2034</v>
      </c>
      <c r="F625">
        <v>202206</v>
      </c>
      <c r="G625" t="s">
        <v>2167</v>
      </c>
      <c r="H625">
        <v>120.75</v>
      </c>
    </row>
    <row r="626" spans="1:8">
      <c r="A626">
        <v>5369</v>
      </c>
      <c r="B626" t="s">
        <v>2326</v>
      </c>
      <c r="C626">
        <v>5697</v>
      </c>
      <c r="D626" t="s">
        <v>2199</v>
      </c>
      <c r="E626" t="s">
        <v>2034</v>
      </c>
      <c r="F626">
        <v>202206</v>
      </c>
      <c r="G626" t="s">
        <v>2164</v>
      </c>
      <c r="H626">
        <v>11.83</v>
      </c>
    </row>
    <row r="627" spans="1:8">
      <c r="A627">
        <v>5369</v>
      </c>
      <c r="B627" t="s">
        <v>2326</v>
      </c>
      <c r="C627">
        <v>5697</v>
      </c>
      <c r="D627" t="s">
        <v>2199</v>
      </c>
      <c r="E627" t="s">
        <v>2034</v>
      </c>
      <c r="F627">
        <v>202206</v>
      </c>
      <c r="G627" t="s">
        <v>2165</v>
      </c>
      <c r="H627">
        <v>21.22</v>
      </c>
    </row>
    <row r="628" spans="1:8">
      <c r="A628">
        <v>5369</v>
      </c>
      <c r="B628" t="s">
        <v>2326</v>
      </c>
      <c r="C628">
        <v>5697</v>
      </c>
      <c r="D628" t="s">
        <v>2199</v>
      </c>
      <c r="E628" t="s">
        <v>2034</v>
      </c>
      <c r="F628">
        <v>202206</v>
      </c>
      <c r="G628" t="s">
        <v>2166</v>
      </c>
      <c r="H628">
        <v>14.37</v>
      </c>
    </row>
    <row r="629" spans="1:8">
      <c r="A629">
        <v>5369</v>
      </c>
      <c r="B629" t="s">
        <v>2326</v>
      </c>
      <c r="C629">
        <v>5697</v>
      </c>
      <c r="D629" t="s">
        <v>2199</v>
      </c>
      <c r="E629" t="s">
        <v>2034</v>
      </c>
      <c r="F629">
        <v>202206</v>
      </c>
      <c r="G629" t="s">
        <v>2169</v>
      </c>
      <c r="H629">
        <v>174577.41</v>
      </c>
    </row>
    <row r="630" spans="1:8">
      <c r="A630">
        <v>5369</v>
      </c>
      <c r="B630" t="s">
        <v>2326</v>
      </c>
      <c r="C630">
        <v>5697</v>
      </c>
      <c r="D630" t="s">
        <v>2199</v>
      </c>
      <c r="E630" t="s">
        <v>2034</v>
      </c>
      <c r="F630">
        <v>202208</v>
      </c>
      <c r="G630" t="s">
        <v>190</v>
      </c>
      <c r="H630">
        <v>1067754</v>
      </c>
    </row>
    <row r="631" spans="1:8">
      <c r="A631">
        <v>5369</v>
      </c>
      <c r="B631" t="s">
        <v>2326</v>
      </c>
      <c r="C631">
        <v>5697</v>
      </c>
      <c r="D631" t="s">
        <v>2199</v>
      </c>
      <c r="E631" t="s">
        <v>2034</v>
      </c>
      <c r="F631">
        <v>202208</v>
      </c>
      <c r="G631" t="s">
        <v>191</v>
      </c>
      <c r="H631">
        <v>106296</v>
      </c>
    </row>
    <row r="632" spans="1:8">
      <c r="A632">
        <v>5369</v>
      </c>
      <c r="B632" t="s">
        <v>2326</v>
      </c>
      <c r="C632">
        <v>5697</v>
      </c>
      <c r="D632" t="s">
        <v>2199</v>
      </c>
      <c r="E632" t="s">
        <v>2034</v>
      </c>
      <c r="F632">
        <v>202208</v>
      </c>
      <c r="G632" t="s">
        <v>176</v>
      </c>
      <c r="H632">
        <v>0</v>
      </c>
    </row>
    <row r="633" spans="1:8">
      <c r="A633">
        <v>5369</v>
      </c>
      <c r="B633" t="s">
        <v>2326</v>
      </c>
      <c r="C633">
        <v>5697</v>
      </c>
      <c r="D633" t="s">
        <v>2199</v>
      </c>
      <c r="E633" t="s">
        <v>2034</v>
      </c>
      <c r="F633">
        <v>202208</v>
      </c>
      <c r="G633" t="s">
        <v>178</v>
      </c>
      <c r="H633">
        <v>2930</v>
      </c>
    </row>
    <row r="634" spans="1:8">
      <c r="A634">
        <v>5369</v>
      </c>
      <c r="B634" t="s">
        <v>2326</v>
      </c>
      <c r="C634">
        <v>5697</v>
      </c>
      <c r="D634" t="s">
        <v>2199</v>
      </c>
      <c r="E634" t="s">
        <v>2034</v>
      </c>
      <c r="F634">
        <v>202208</v>
      </c>
      <c r="G634" t="s">
        <v>180</v>
      </c>
      <c r="H634">
        <v>2250</v>
      </c>
    </row>
    <row r="635" spans="1:8">
      <c r="A635">
        <v>5369</v>
      </c>
      <c r="B635" t="s">
        <v>2326</v>
      </c>
      <c r="C635">
        <v>5697</v>
      </c>
      <c r="D635" t="s">
        <v>2199</v>
      </c>
      <c r="E635" t="s">
        <v>2034</v>
      </c>
      <c r="F635">
        <v>202208</v>
      </c>
      <c r="G635" t="s">
        <v>182</v>
      </c>
      <c r="H635">
        <v>1067754</v>
      </c>
    </row>
    <row r="636" spans="1:8">
      <c r="A636">
        <v>5369</v>
      </c>
      <c r="B636" t="s">
        <v>2326</v>
      </c>
      <c r="C636">
        <v>5697</v>
      </c>
      <c r="D636" t="s">
        <v>2199</v>
      </c>
      <c r="E636" t="s">
        <v>2034</v>
      </c>
      <c r="F636">
        <v>202208</v>
      </c>
      <c r="G636" t="s">
        <v>184</v>
      </c>
      <c r="H636">
        <v>106296</v>
      </c>
    </row>
    <row r="637" spans="1:8">
      <c r="A637">
        <v>5369</v>
      </c>
      <c r="B637" t="s">
        <v>2326</v>
      </c>
      <c r="C637">
        <v>5697</v>
      </c>
      <c r="D637" t="s">
        <v>2199</v>
      </c>
      <c r="E637" t="s">
        <v>2034</v>
      </c>
      <c r="F637">
        <v>202208</v>
      </c>
      <c r="G637" t="s">
        <v>192</v>
      </c>
      <c r="H637">
        <v>0</v>
      </c>
    </row>
    <row r="638" spans="1:8">
      <c r="A638">
        <v>5369</v>
      </c>
      <c r="B638" t="s">
        <v>2326</v>
      </c>
      <c r="C638">
        <v>5697</v>
      </c>
      <c r="D638" t="s">
        <v>2199</v>
      </c>
      <c r="E638" t="s">
        <v>2034</v>
      </c>
      <c r="F638">
        <v>202208</v>
      </c>
      <c r="G638" t="s">
        <v>2168</v>
      </c>
      <c r="H638">
        <v>13137.18</v>
      </c>
    </row>
    <row r="639" spans="1:8">
      <c r="A639">
        <v>5369</v>
      </c>
      <c r="B639" t="s">
        <v>2326</v>
      </c>
      <c r="C639">
        <v>5697</v>
      </c>
      <c r="D639" t="s">
        <v>2199</v>
      </c>
      <c r="E639" t="s">
        <v>2034</v>
      </c>
      <c r="F639">
        <v>202208</v>
      </c>
      <c r="G639" t="s">
        <v>186</v>
      </c>
      <c r="H639">
        <v>0</v>
      </c>
    </row>
    <row r="640" spans="1:8">
      <c r="A640">
        <v>5369</v>
      </c>
      <c r="B640" t="s">
        <v>2326</v>
      </c>
      <c r="C640">
        <v>5697</v>
      </c>
      <c r="D640" t="s">
        <v>2199</v>
      </c>
      <c r="E640" t="s">
        <v>2034</v>
      </c>
      <c r="F640">
        <v>202208</v>
      </c>
      <c r="G640" t="s">
        <v>2167</v>
      </c>
      <c r="H640">
        <v>120.75</v>
      </c>
    </row>
    <row r="641" spans="1:8">
      <c r="A641">
        <v>5369</v>
      </c>
      <c r="B641" t="s">
        <v>2326</v>
      </c>
      <c r="C641">
        <v>5697</v>
      </c>
      <c r="D641" t="s">
        <v>2199</v>
      </c>
      <c r="E641" t="s">
        <v>2034</v>
      </c>
      <c r="F641">
        <v>202208</v>
      </c>
      <c r="G641" t="s">
        <v>2164</v>
      </c>
      <c r="H641">
        <v>11.83</v>
      </c>
    </row>
    <row r="642" spans="1:8">
      <c r="A642">
        <v>5369</v>
      </c>
      <c r="B642" t="s">
        <v>2326</v>
      </c>
      <c r="C642">
        <v>5697</v>
      </c>
      <c r="D642" t="s">
        <v>2199</v>
      </c>
      <c r="E642" t="s">
        <v>2034</v>
      </c>
      <c r="F642">
        <v>202208</v>
      </c>
      <c r="G642" t="s">
        <v>2165</v>
      </c>
      <c r="H642">
        <v>21.22</v>
      </c>
    </row>
    <row r="643" spans="1:8">
      <c r="A643">
        <v>5369</v>
      </c>
      <c r="B643" t="s">
        <v>2326</v>
      </c>
      <c r="C643">
        <v>5697</v>
      </c>
      <c r="D643" t="s">
        <v>2199</v>
      </c>
      <c r="E643" t="s">
        <v>2034</v>
      </c>
      <c r="F643">
        <v>202208</v>
      </c>
      <c r="G643" t="s">
        <v>2166</v>
      </c>
      <c r="H643">
        <v>14.37</v>
      </c>
    </row>
    <row r="644" spans="1:8">
      <c r="A644">
        <v>5369</v>
      </c>
      <c r="B644" t="s">
        <v>2326</v>
      </c>
      <c r="C644">
        <v>5697</v>
      </c>
      <c r="D644" t="s">
        <v>2199</v>
      </c>
      <c r="E644" t="s">
        <v>2034</v>
      </c>
      <c r="F644">
        <v>202208</v>
      </c>
      <c r="G644" t="s">
        <v>2169</v>
      </c>
      <c r="H644">
        <v>262219.21000000002</v>
      </c>
    </row>
    <row r="645" spans="1:8">
      <c r="A645">
        <v>5369</v>
      </c>
      <c r="B645" t="s">
        <v>2326</v>
      </c>
      <c r="C645">
        <v>5697</v>
      </c>
      <c r="D645" t="s">
        <v>2199</v>
      </c>
      <c r="E645" t="s">
        <v>2034</v>
      </c>
      <c r="F645">
        <v>202208</v>
      </c>
      <c r="G645" t="s">
        <v>190</v>
      </c>
      <c r="H645">
        <v>1839634</v>
      </c>
    </row>
    <row r="646" spans="1:8">
      <c r="A646">
        <v>5369</v>
      </c>
      <c r="B646" t="s">
        <v>2326</v>
      </c>
      <c r="C646">
        <v>5697</v>
      </c>
      <c r="D646" t="s">
        <v>2199</v>
      </c>
      <c r="E646" t="s">
        <v>2034</v>
      </c>
      <c r="F646">
        <v>202208</v>
      </c>
      <c r="G646" t="s">
        <v>191</v>
      </c>
      <c r="H646">
        <v>123073</v>
      </c>
    </row>
    <row r="647" spans="1:8">
      <c r="A647">
        <v>5369</v>
      </c>
      <c r="B647" t="s">
        <v>2326</v>
      </c>
      <c r="C647">
        <v>5697</v>
      </c>
      <c r="D647" t="s">
        <v>2199</v>
      </c>
      <c r="E647" t="s">
        <v>2034</v>
      </c>
      <c r="F647">
        <v>202208</v>
      </c>
      <c r="G647" t="s">
        <v>176</v>
      </c>
      <c r="H647">
        <v>0</v>
      </c>
    </row>
    <row r="648" spans="1:8">
      <c r="A648">
        <v>5369</v>
      </c>
      <c r="B648" t="s">
        <v>2326</v>
      </c>
      <c r="C648">
        <v>5697</v>
      </c>
      <c r="D648" t="s">
        <v>2199</v>
      </c>
      <c r="E648" t="s">
        <v>2034</v>
      </c>
      <c r="F648">
        <v>202208</v>
      </c>
      <c r="G648" t="s">
        <v>178</v>
      </c>
      <c r="H648">
        <v>6400</v>
      </c>
    </row>
    <row r="649" spans="1:8">
      <c r="A649">
        <v>5369</v>
      </c>
      <c r="B649" t="s">
        <v>2326</v>
      </c>
      <c r="C649">
        <v>5697</v>
      </c>
      <c r="D649" t="s">
        <v>2199</v>
      </c>
      <c r="E649" t="s">
        <v>2034</v>
      </c>
      <c r="F649">
        <v>202208</v>
      </c>
      <c r="G649" t="s">
        <v>180</v>
      </c>
      <c r="H649">
        <v>4000</v>
      </c>
    </row>
    <row r="650" spans="1:8">
      <c r="A650">
        <v>5369</v>
      </c>
      <c r="B650" t="s">
        <v>2326</v>
      </c>
      <c r="C650">
        <v>5697</v>
      </c>
      <c r="D650" t="s">
        <v>2199</v>
      </c>
      <c r="E650" t="s">
        <v>2034</v>
      </c>
      <c r="F650">
        <v>202208</v>
      </c>
      <c r="G650" t="s">
        <v>182</v>
      </c>
      <c r="H650">
        <v>1904733</v>
      </c>
    </row>
    <row r="651" spans="1:8">
      <c r="A651">
        <v>5369</v>
      </c>
      <c r="B651" t="s">
        <v>2326</v>
      </c>
      <c r="C651">
        <v>5697</v>
      </c>
      <c r="D651" t="s">
        <v>2199</v>
      </c>
      <c r="E651" t="s">
        <v>2034</v>
      </c>
      <c r="F651">
        <v>202208</v>
      </c>
      <c r="G651" t="s">
        <v>184</v>
      </c>
      <c r="H651">
        <v>123073</v>
      </c>
    </row>
    <row r="652" spans="1:8">
      <c r="A652">
        <v>5369</v>
      </c>
      <c r="B652" t="s">
        <v>2326</v>
      </c>
      <c r="C652">
        <v>5697</v>
      </c>
      <c r="D652" t="s">
        <v>2199</v>
      </c>
      <c r="E652" t="s">
        <v>2034</v>
      </c>
      <c r="F652">
        <v>202208</v>
      </c>
      <c r="G652" t="s">
        <v>192</v>
      </c>
      <c r="H652">
        <v>0</v>
      </c>
    </row>
    <row r="653" spans="1:8">
      <c r="A653">
        <v>5369</v>
      </c>
      <c r="B653" t="s">
        <v>2326</v>
      </c>
      <c r="C653">
        <v>5697</v>
      </c>
      <c r="D653" t="s">
        <v>2199</v>
      </c>
      <c r="E653" t="s">
        <v>2034</v>
      </c>
      <c r="F653">
        <v>202208</v>
      </c>
      <c r="G653" t="s">
        <v>2168</v>
      </c>
      <c r="H653">
        <v>22506.69</v>
      </c>
    </row>
    <row r="654" spans="1:8">
      <c r="A654">
        <v>5369</v>
      </c>
      <c r="B654" t="s">
        <v>2326</v>
      </c>
      <c r="C654">
        <v>5697</v>
      </c>
      <c r="D654" t="s">
        <v>2199</v>
      </c>
      <c r="E654" t="s">
        <v>2034</v>
      </c>
      <c r="F654">
        <v>202208</v>
      </c>
      <c r="G654" t="s">
        <v>186</v>
      </c>
      <c r="H654">
        <v>65099</v>
      </c>
    </row>
    <row r="655" spans="1:8">
      <c r="A655">
        <v>5369</v>
      </c>
      <c r="B655" t="s">
        <v>2326</v>
      </c>
      <c r="C655">
        <v>5697</v>
      </c>
      <c r="D655" t="s">
        <v>2199</v>
      </c>
      <c r="E655" t="s">
        <v>2034</v>
      </c>
      <c r="F655">
        <v>202208</v>
      </c>
      <c r="G655" t="s">
        <v>2167</v>
      </c>
      <c r="H655">
        <v>120.75</v>
      </c>
    </row>
    <row r="656" spans="1:8">
      <c r="A656">
        <v>5369</v>
      </c>
      <c r="B656" t="s">
        <v>2326</v>
      </c>
      <c r="C656">
        <v>5697</v>
      </c>
      <c r="D656" t="s">
        <v>2199</v>
      </c>
      <c r="E656" t="s">
        <v>2034</v>
      </c>
      <c r="F656">
        <v>202208</v>
      </c>
      <c r="G656" t="s">
        <v>2164</v>
      </c>
      <c r="H656">
        <v>11.83</v>
      </c>
    </row>
    <row r="657" spans="1:8">
      <c r="A657">
        <v>5369</v>
      </c>
      <c r="B657" t="s">
        <v>2326</v>
      </c>
      <c r="C657">
        <v>5697</v>
      </c>
      <c r="D657" t="s">
        <v>2199</v>
      </c>
      <c r="E657" t="s">
        <v>2034</v>
      </c>
      <c r="F657">
        <v>202208</v>
      </c>
      <c r="G657" t="s">
        <v>2165</v>
      </c>
      <c r="H657">
        <v>21.22</v>
      </c>
    </row>
    <row r="658" spans="1:8">
      <c r="A658">
        <v>5369</v>
      </c>
      <c r="B658" t="s">
        <v>2326</v>
      </c>
      <c r="C658">
        <v>5697</v>
      </c>
      <c r="D658" t="s">
        <v>2199</v>
      </c>
      <c r="E658" t="s">
        <v>2034</v>
      </c>
      <c r="F658">
        <v>202208</v>
      </c>
      <c r="G658" t="s">
        <v>2166</v>
      </c>
      <c r="H658">
        <v>14.37</v>
      </c>
    </row>
    <row r="659" spans="1:8">
      <c r="A659">
        <v>5369</v>
      </c>
      <c r="B659" t="s">
        <v>2326</v>
      </c>
      <c r="C659">
        <v>5697</v>
      </c>
      <c r="D659" t="s">
        <v>2199</v>
      </c>
      <c r="E659" t="s">
        <v>2034</v>
      </c>
      <c r="F659">
        <v>202208</v>
      </c>
      <c r="G659" t="s">
        <v>2169</v>
      </c>
      <c r="H659">
        <v>449235.11</v>
      </c>
    </row>
    <row r="660" spans="1:8">
      <c r="A660">
        <v>5369</v>
      </c>
      <c r="B660" t="s">
        <v>2326</v>
      </c>
      <c r="C660">
        <v>5697</v>
      </c>
      <c r="D660" t="s">
        <v>2199</v>
      </c>
      <c r="E660" t="s">
        <v>2034</v>
      </c>
      <c r="F660">
        <v>202208</v>
      </c>
      <c r="G660" t="s">
        <v>190</v>
      </c>
      <c r="H660">
        <v>743953</v>
      </c>
    </row>
    <row r="661" spans="1:8">
      <c r="A661">
        <v>5369</v>
      </c>
      <c r="B661" t="s">
        <v>2326</v>
      </c>
      <c r="C661">
        <v>5697</v>
      </c>
      <c r="D661" t="s">
        <v>2199</v>
      </c>
      <c r="E661" t="s">
        <v>2034</v>
      </c>
      <c r="F661">
        <v>202208</v>
      </c>
      <c r="G661" t="s">
        <v>191</v>
      </c>
      <c r="H661">
        <v>53158</v>
      </c>
    </row>
    <row r="662" spans="1:8">
      <c r="A662">
        <v>5369</v>
      </c>
      <c r="B662" t="s">
        <v>2326</v>
      </c>
      <c r="C662">
        <v>5697</v>
      </c>
      <c r="D662" t="s">
        <v>2199</v>
      </c>
      <c r="E662" t="s">
        <v>2034</v>
      </c>
      <c r="F662">
        <v>202208</v>
      </c>
      <c r="G662" t="s">
        <v>176</v>
      </c>
      <c r="H662">
        <v>0</v>
      </c>
    </row>
    <row r="663" spans="1:8">
      <c r="A663">
        <v>5369</v>
      </c>
      <c r="B663" t="s">
        <v>2326</v>
      </c>
      <c r="C663">
        <v>5697</v>
      </c>
      <c r="D663" t="s">
        <v>2199</v>
      </c>
      <c r="E663" t="s">
        <v>2034</v>
      </c>
      <c r="F663">
        <v>202208</v>
      </c>
      <c r="G663" t="s">
        <v>178</v>
      </c>
      <c r="H663">
        <v>2522</v>
      </c>
    </row>
    <row r="664" spans="1:8">
      <c r="A664">
        <v>5369</v>
      </c>
      <c r="B664" t="s">
        <v>2326</v>
      </c>
      <c r="C664">
        <v>5697</v>
      </c>
      <c r="D664" t="s">
        <v>2199</v>
      </c>
      <c r="E664" t="s">
        <v>2034</v>
      </c>
      <c r="F664">
        <v>202208</v>
      </c>
      <c r="G664" t="s">
        <v>180</v>
      </c>
      <c r="H664">
        <v>1550</v>
      </c>
    </row>
    <row r="665" spans="1:8">
      <c r="A665">
        <v>5369</v>
      </c>
      <c r="B665" t="s">
        <v>2326</v>
      </c>
      <c r="C665">
        <v>5697</v>
      </c>
      <c r="D665" t="s">
        <v>2199</v>
      </c>
      <c r="E665" t="s">
        <v>2034</v>
      </c>
      <c r="F665">
        <v>202208</v>
      </c>
      <c r="G665" t="s">
        <v>182</v>
      </c>
      <c r="H665">
        <v>743953</v>
      </c>
    </row>
    <row r="666" spans="1:8">
      <c r="A666">
        <v>5369</v>
      </c>
      <c r="B666" t="s">
        <v>2326</v>
      </c>
      <c r="C666">
        <v>5697</v>
      </c>
      <c r="D666" t="s">
        <v>2199</v>
      </c>
      <c r="E666" t="s">
        <v>2034</v>
      </c>
      <c r="F666">
        <v>202208</v>
      </c>
      <c r="G666" t="s">
        <v>184</v>
      </c>
      <c r="H666">
        <v>53158</v>
      </c>
    </row>
    <row r="667" spans="1:8">
      <c r="A667">
        <v>5369</v>
      </c>
      <c r="B667" t="s">
        <v>2326</v>
      </c>
      <c r="C667">
        <v>5697</v>
      </c>
      <c r="D667" t="s">
        <v>2199</v>
      </c>
      <c r="E667" t="s">
        <v>2034</v>
      </c>
      <c r="F667">
        <v>202208</v>
      </c>
      <c r="G667" t="s">
        <v>192</v>
      </c>
      <c r="H667">
        <v>0</v>
      </c>
    </row>
    <row r="668" spans="1:8">
      <c r="A668">
        <v>5369</v>
      </c>
      <c r="B668" t="s">
        <v>2326</v>
      </c>
      <c r="C668">
        <v>5697</v>
      </c>
      <c r="D668" t="s">
        <v>2199</v>
      </c>
      <c r="E668" t="s">
        <v>2034</v>
      </c>
      <c r="F668">
        <v>202208</v>
      </c>
      <c r="G668" t="s">
        <v>2168</v>
      </c>
      <c r="H668">
        <v>9327.81</v>
      </c>
    </row>
    <row r="669" spans="1:8">
      <c r="A669">
        <v>5369</v>
      </c>
      <c r="B669" t="s">
        <v>2326</v>
      </c>
      <c r="C669">
        <v>5697</v>
      </c>
      <c r="D669" t="s">
        <v>2199</v>
      </c>
      <c r="E669" t="s">
        <v>2034</v>
      </c>
      <c r="F669">
        <v>202208</v>
      </c>
      <c r="G669" t="s">
        <v>186</v>
      </c>
      <c r="H669">
        <v>0</v>
      </c>
    </row>
    <row r="670" spans="1:8">
      <c r="A670">
        <v>5369</v>
      </c>
      <c r="B670" t="s">
        <v>2326</v>
      </c>
      <c r="C670">
        <v>5697</v>
      </c>
      <c r="D670" t="s">
        <v>2199</v>
      </c>
      <c r="E670" t="s">
        <v>2034</v>
      </c>
      <c r="F670">
        <v>202208</v>
      </c>
      <c r="G670" t="s">
        <v>2167</v>
      </c>
      <c r="H670">
        <v>120.75</v>
      </c>
    </row>
    <row r="671" spans="1:8">
      <c r="A671">
        <v>5369</v>
      </c>
      <c r="B671" t="s">
        <v>2326</v>
      </c>
      <c r="C671">
        <v>5697</v>
      </c>
      <c r="D671" t="s">
        <v>2199</v>
      </c>
      <c r="E671" t="s">
        <v>2034</v>
      </c>
      <c r="F671">
        <v>202208</v>
      </c>
      <c r="G671" t="s">
        <v>2164</v>
      </c>
      <c r="H671">
        <v>11.83</v>
      </c>
    </row>
    <row r="672" spans="1:8">
      <c r="A672">
        <v>5369</v>
      </c>
      <c r="B672" t="s">
        <v>2326</v>
      </c>
      <c r="C672">
        <v>5697</v>
      </c>
      <c r="D672" t="s">
        <v>2199</v>
      </c>
      <c r="E672" t="s">
        <v>2034</v>
      </c>
      <c r="F672">
        <v>202208</v>
      </c>
      <c r="G672" t="s">
        <v>2165</v>
      </c>
      <c r="H672">
        <v>21.22</v>
      </c>
    </row>
    <row r="673" spans="1:8">
      <c r="A673">
        <v>5369</v>
      </c>
      <c r="B673" t="s">
        <v>2326</v>
      </c>
      <c r="C673">
        <v>5697</v>
      </c>
      <c r="D673" t="s">
        <v>2199</v>
      </c>
      <c r="E673" t="s">
        <v>2034</v>
      </c>
      <c r="F673">
        <v>202208</v>
      </c>
      <c r="G673" t="s">
        <v>2166</v>
      </c>
      <c r="H673">
        <v>14.37</v>
      </c>
    </row>
    <row r="674" spans="1:8">
      <c r="A674">
        <v>5369</v>
      </c>
      <c r="B674" t="s">
        <v>2326</v>
      </c>
      <c r="C674">
        <v>5697</v>
      </c>
      <c r="D674" t="s">
        <v>2199</v>
      </c>
      <c r="E674" t="s">
        <v>2034</v>
      </c>
      <c r="F674">
        <v>202208</v>
      </c>
      <c r="G674" t="s">
        <v>2169</v>
      </c>
      <c r="H674">
        <v>186183.84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2020</v>
      </c>
    </row>
    <row r="3" spans="1:50">
      <c r="A3" s="63" t="s">
        <v>195</v>
      </c>
      <c r="AI3" t="s">
        <v>2021</v>
      </c>
    </row>
    <row r="4" spans="1:50">
      <c r="A4" s="63" t="s">
        <v>196</v>
      </c>
    </row>
    <row r="7" spans="1:50">
      <c r="A7" s="625" t="s">
        <v>197</v>
      </c>
      <c r="M7" t="s">
        <v>2019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24" t="s">
        <v>2284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2283</v>
      </c>
      <c r="X9" s="776" t="s">
        <v>198</v>
      </c>
      <c r="Y9" s="777" t="s">
        <v>219</v>
      </c>
      <c r="AB9" t="s">
        <v>198</v>
      </c>
      <c r="AC9" t="s">
        <v>2285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09" t="s">
        <v>227</v>
      </c>
      <c r="I10" s="1725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50">
        <v>0</v>
      </c>
      <c r="Q10" s="613"/>
      <c r="R10" s="709">
        <v>42613</v>
      </c>
      <c r="S10" s="709" t="s">
        <v>229</v>
      </c>
      <c r="T10" s="709"/>
      <c r="U10" s="233"/>
      <c r="V10" s="17"/>
      <c r="X10" s="780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09" t="s">
        <v>235</v>
      </c>
      <c r="I11" s="1725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0">
        <v>0</v>
      </c>
      <c r="Q11" s="613"/>
      <c r="R11" s="709">
        <v>42613</v>
      </c>
      <c r="S11" s="709" t="s">
        <v>229</v>
      </c>
      <c r="T11" s="709"/>
      <c r="U11" s="233"/>
      <c r="V11" s="17"/>
      <c r="X11" s="780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09" t="s">
        <v>235</v>
      </c>
      <c r="I12" s="1725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0">
        <v>0</v>
      </c>
      <c r="Q12" s="613"/>
      <c r="R12" s="709">
        <v>42673</v>
      </c>
      <c r="S12" s="709" t="s">
        <v>229</v>
      </c>
      <c r="T12" s="709"/>
      <c r="U12" s="233"/>
      <c r="V12" s="17"/>
      <c r="X12" s="780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09" t="s">
        <v>235</v>
      </c>
      <c r="I13" s="1725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0">
        <v>0</v>
      </c>
      <c r="Q13" s="613"/>
      <c r="R13" s="709">
        <v>42410</v>
      </c>
      <c r="S13" s="709" t="s">
        <v>229</v>
      </c>
      <c r="T13" s="709"/>
      <c r="U13" s="233"/>
      <c r="V13" s="17"/>
      <c r="X13" s="780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09" t="s">
        <v>235</v>
      </c>
      <c r="I14" s="1725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50">
        <v>0</v>
      </c>
      <c r="Q14" s="613"/>
      <c r="R14" s="709">
        <v>42562</v>
      </c>
      <c r="S14" s="709" t="s">
        <v>229</v>
      </c>
      <c r="T14" s="709"/>
      <c r="U14" s="233"/>
      <c r="V14" s="17"/>
      <c r="X14" s="780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09" t="s">
        <v>227</v>
      </c>
      <c r="I15" s="1725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50">
        <v>0</v>
      </c>
      <c r="Q15" s="613"/>
      <c r="R15" s="709">
        <v>42673</v>
      </c>
      <c r="S15" s="709" t="s">
        <v>229</v>
      </c>
      <c r="T15" s="709"/>
      <c r="U15" s="233"/>
      <c r="V15" s="17"/>
      <c r="X15" s="780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09" t="s">
        <v>264</v>
      </c>
      <c r="I16" s="1725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0">
        <v>0</v>
      </c>
      <c r="Q16" s="613"/>
      <c r="R16" s="709">
        <v>42507</v>
      </c>
      <c r="S16" s="709" t="s">
        <v>229</v>
      </c>
      <c r="T16" s="709"/>
      <c r="U16" s="233"/>
      <c r="V16" s="17"/>
      <c r="X16" s="780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09" t="s">
        <v>235</v>
      </c>
      <c r="I17" s="1725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0">
        <v>0</v>
      </c>
      <c r="Q17" s="613"/>
      <c r="R17" s="709">
        <v>42475</v>
      </c>
      <c r="S17" s="709" t="s">
        <v>229</v>
      </c>
      <c r="T17" s="709"/>
      <c r="U17" s="233"/>
      <c r="V17" s="17"/>
      <c r="X17" s="780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09" t="s">
        <v>264</v>
      </c>
      <c r="I18" s="1725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0">
        <v>0</v>
      </c>
      <c r="Q18" s="613"/>
      <c r="R18" s="709">
        <v>42475</v>
      </c>
      <c r="S18" s="709" t="s">
        <v>229</v>
      </c>
      <c r="T18" s="709"/>
      <c r="U18" s="233"/>
      <c r="V18" s="17"/>
      <c r="X18" s="780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09" t="s">
        <v>235</v>
      </c>
      <c r="I19" s="1725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0">
        <v>0</v>
      </c>
      <c r="Q19" s="613"/>
      <c r="R19" s="709">
        <v>42673</v>
      </c>
      <c r="S19" s="709" t="s">
        <v>229</v>
      </c>
      <c r="T19" s="709"/>
      <c r="U19" s="233"/>
      <c r="V19" s="17"/>
      <c r="X19" s="780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09" t="s">
        <v>287</v>
      </c>
      <c r="I20" s="1725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0">
        <v>0</v>
      </c>
      <c r="Q20" s="613"/>
      <c r="R20" s="709">
        <v>42641</v>
      </c>
      <c r="S20" s="709" t="s">
        <v>229</v>
      </c>
      <c r="T20" s="709"/>
      <c r="U20" s="233"/>
      <c r="V20" s="17"/>
      <c r="X20" s="780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09" t="s">
        <v>293</v>
      </c>
      <c r="I21" s="1725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50">
        <v>0</v>
      </c>
      <c r="Q21" s="613"/>
      <c r="R21" s="709">
        <v>42641</v>
      </c>
      <c r="S21" s="709" t="s">
        <v>229</v>
      </c>
      <c r="T21" s="709"/>
      <c r="U21" s="233"/>
      <c r="V21" s="17"/>
      <c r="X21" s="780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09" t="s">
        <v>287</v>
      </c>
      <c r="I22" s="1725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0">
        <v>0</v>
      </c>
      <c r="Q22" s="613"/>
      <c r="R22" s="709">
        <v>42641</v>
      </c>
      <c r="S22" s="709" t="s">
        <v>229</v>
      </c>
      <c r="T22" s="709"/>
      <c r="U22" s="233"/>
      <c r="V22" s="17"/>
      <c r="X22" s="780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09" t="s">
        <v>287</v>
      </c>
      <c r="I23" s="1725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50">
        <v>0</v>
      </c>
      <c r="Q23" s="613"/>
      <c r="R23" s="709">
        <v>42641</v>
      </c>
      <c r="S23" s="709" t="s">
        <v>229</v>
      </c>
      <c r="T23" s="709"/>
      <c r="U23" s="233"/>
      <c r="V23" s="17"/>
      <c r="X23" s="780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09" t="s">
        <v>287</v>
      </c>
      <c r="I24" s="1725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0">
        <v>0</v>
      </c>
      <c r="Q24" s="613"/>
      <c r="R24" s="709">
        <v>42641</v>
      </c>
      <c r="S24" s="709" t="s">
        <v>229</v>
      </c>
      <c r="T24" s="709"/>
      <c r="U24" s="233"/>
      <c r="V24" s="17"/>
      <c r="X24" s="780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09" t="s">
        <v>315</v>
      </c>
      <c r="I25" s="1725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0">
        <v>0</v>
      </c>
      <c r="Q25" s="613"/>
      <c r="R25" s="709">
        <v>42641</v>
      </c>
      <c r="S25" s="709" t="s">
        <v>229</v>
      </c>
      <c r="T25" s="709"/>
      <c r="U25" s="233"/>
      <c r="V25" s="17"/>
      <c r="X25" s="780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09" t="s">
        <v>320</v>
      </c>
      <c r="I26" s="1725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0">
        <v>0</v>
      </c>
      <c r="Q26" s="613"/>
      <c r="R26" s="709">
        <v>42641</v>
      </c>
      <c r="S26" s="709" t="s">
        <v>229</v>
      </c>
      <c r="T26" s="709"/>
      <c r="U26" s="233"/>
      <c r="V26" s="17"/>
      <c r="X26" s="780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09" t="s">
        <v>326</v>
      </c>
      <c r="I27" s="1725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0">
        <v>0</v>
      </c>
      <c r="Q27" s="613"/>
      <c r="R27" s="709">
        <v>42641</v>
      </c>
      <c r="S27" s="709" t="s">
        <v>229</v>
      </c>
      <c r="T27" s="709"/>
      <c r="U27" s="233"/>
      <c r="V27" s="17"/>
      <c r="X27" s="780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09" t="s">
        <v>287</v>
      </c>
      <c r="I28" s="1725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0">
        <v>0</v>
      </c>
      <c r="Q28" s="613"/>
      <c r="R28" s="709">
        <v>42641</v>
      </c>
      <c r="S28" s="709" t="s">
        <v>229</v>
      </c>
      <c r="T28" s="709"/>
      <c r="U28" s="233"/>
      <c r="V28" s="17"/>
      <c r="X28" s="780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09" t="s">
        <v>338</v>
      </c>
      <c r="I29" s="1725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0">
        <v>0</v>
      </c>
      <c r="Q29" s="613"/>
      <c r="R29" s="709">
        <v>42641</v>
      </c>
      <c r="S29" s="709" t="s">
        <v>229</v>
      </c>
      <c r="T29" s="709"/>
      <c r="U29" s="233"/>
      <c r="V29" s="17"/>
      <c r="X29" s="780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09" t="s">
        <v>287</v>
      </c>
      <c r="I30" s="1725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0">
        <v>0</v>
      </c>
      <c r="Q30" s="613"/>
      <c r="R30" s="709">
        <v>42641</v>
      </c>
      <c r="S30" s="709" t="s">
        <v>229</v>
      </c>
      <c r="T30" s="709"/>
      <c r="U30" s="233"/>
      <c r="V30" s="17"/>
      <c r="X30" s="780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09" t="s">
        <v>287</v>
      </c>
      <c r="I31" s="1725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0">
        <v>0</v>
      </c>
      <c r="Q31" s="613"/>
      <c r="R31" s="709">
        <v>42641</v>
      </c>
      <c r="S31" s="709" t="s">
        <v>229</v>
      </c>
      <c r="T31" s="709"/>
      <c r="U31" s="233"/>
      <c r="V31" s="17"/>
      <c r="X31" s="780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09" t="s">
        <v>326</v>
      </c>
      <c r="I32" s="1725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0">
        <v>0</v>
      </c>
      <c r="Q32" s="613"/>
      <c r="R32" s="709">
        <v>42641</v>
      </c>
      <c r="S32" s="709" t="s">
        <v>229</v>
      </c>
      <c r="T32" s="709"/>
      <c r="U32" s="233"/>
      <c r="V32" s="17"/>
      <c r="X32" s="780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09" t="s">
        <v>287</v>
      </c>
      <c r="I33" s="1725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0">
        <v>0</v>
      </c>
      <c r="Q33" s="613"/>
      <c r="R33" s="709">
        <v>42641</v>
      </c>
      <c r="S33" s="709" t="s">
        <v>229</v>
      </c>
      <c r="T33" s="709"/>
      <c r="U33" s="233"/>
      <c r="V33" s="17"/>
      <c r="X33" s="780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09" t="s">
        <v>364</v>
      </c>
      <c r="I34" s="1725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50">
        <v>0</v>
      </c>
      <c r="Q34" s="613"/>
      <c r="R34" s="709">
        <v>42641</v>
      </c>
      <c r="S34" s="709" t="s">
        <v>229</v>
      </c>
      <c r="T34" s="709"/>
      <c r="U34" s="233"/>
      <c r="V34" s="17"/>
      <c r="X34" s="780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09" t="s">
        <v>320</v>
      </c>
      <c r="I35" s="1725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0">
        <v>0</v>
      </c>
      <c r="Q35" s="613"/>
      <c r="R35" s="709">
        <v>42641</v>
      </c>
      <c r="S35" s="709" t="s">
        <v>229</v>
      </c>
      <c r="T35" s="709"/>
      <c r="U35" s="233"/>
      <c r="V35" s="17"/>
      <c r="X35" s="780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09" t="s">
        <v>287</v>
      </c>
      <c r="I36" s="1725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0">
        <v>0</v>
      </c>
      <c r="Q36" s="613"/>
      <c r="R36" s="709">
        <v>42641</v>
      </c>
      <c r="S36" s="709" t="s">
        <v>229</v>
      </c>
      <c r="T36" s="709"/>
      <c r="U36" s="233"/>
      <c r="V36" s="17"/>
      <c r="X36" s="780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09" t="s">
        <v>381</v>
      </c>
      <c r="I37" s="1725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0">
        <v>0</v>
      </c>
      <c r="Q37" s="613"/>
      <c r="R37" s="709">
        <v>42551</v>
      </c>
      <c r="S37" s="709" t="s">
        <v>229</v>
      </c>
      <c r="T37" s="709"/>
      <c r="U37" s="233"/>
      <c r="V37" s="17"/>
      <c r="X37" s="780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09" t="s">
        <v>386</v>
      </c>
      <c r="I38" s="1725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0">
        <v>69.23</v>
      </c>
      <c r="Q38" s="709">
        <v>42917</v>
      </c>
      <c r="R38" s="709">
        <v>42551</v>
      </c>
      <c r="S38" s="709" t="s">
        <v>229</v>
      </c>
      <c r="T38" s="709"/>
      <c r="U38" s="233"/>
      <c r="V38" s="17"/>
      <c r="X38" s="780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09" t="s">
        <v>392</v>
      </c>
      <c r="I39" s="1725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50">
        <v>0</v>
      </c>
      <c r="Q39" s="613"/>
      <c r="R39" s="709">
        <v>42486</v>
      </c>
      <c r="S39" s="709" t="s">
        <v>229</v>
      </c>
      <c r="T39" s="709"/>
      <c r="U39" s="233"/>
      <c r="V39" s="17"/>
      <c r="X39" s="780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09" t="s">
        <v>397</v>
      </c>
      <c r="I40" s="1725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0">
        <v>0</v>
      </c>
      <c r="Q40" s="613"/>
      <c r="R40" s="709">
        <v>42547</v>
      </c>
      <c r="S40" s="709" t="s">
        <v>229</v>
      </c>
      <c r="T40" s="709"/>
      <c r="U40" s="233"/>
      <c r="V40" s="17"/>
      <c r="X40" s="780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09" t="s">
        <v>397</v>
      </c>
      <c r="I41" s="1725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0">
        <v>0</v>
      </c>
      <c r="Q41" s="613"/>
      <c r="R41" s="709">
        <v>42551</v>
      </c>
      <c r="S41" s="709" t="s">
        <v>229</v>
      </c>
      <c r="T41" s="709"/>
      <c r="U41" s="233"/>
      <c r="V41" s="17"/>
      <c r="X41" s="780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09" t="s">
        <v>408</v>
      </c>
      <c r="I42" s="1725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0">
        <v>0</v>
      </c>
      <c r="Q42" s="613"/>
      <c r="R42" s="709">
        <v>42551</v>
      </c>
      <c r="S42" s="709" t="s">
        <v>229</v>
      </c>
      <c r="T42" s="709"/>
      <c r="U42" s="233"/>
      <c r="V42" s="17"/>
      <c r="X42" s="780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09" t="s">
        <v>397</v>
      </c>
      <c r="I43" s="1725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0">
        <v>0</v>
      </c>
      <c r="Q43" s="613"/>
      <c r="R43" s="709">
        <v>42551</v>
      </c>
      <c r="S43" s="709" t="s">
        <v>229</v>
      </c>
      <c r="T43" s="709"/>
      <c r="U43" s="233"/>
      <c r="V43" s="17"/>
      <c r="X43" s="780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09" t="s">
        <v>397</v>
      </c>
      <c r="I44" s="1725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0">
        <v>0</v>
      </c>
      <c r="Q44" s="613"/>
      <c r="R44" s="709">
        <v>42551</v>
      </c>
      <c r="S44" s="709" t="s">
        <v>229</v>
      </c>
      <c r="T44" s="709"/>
      <c r="U44" s="233"/>
      <c r="V44" s="17"/>
      <c r="X44" s="780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09" t="s">
        <v>287</v>
      </c>
      <c r="I45" s="1725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50">
        <v>0</v>
      </c>
      <c r="Q45" s="613"/>
      <c r="R45" s="709">
        <v>42551</v>
      </c>
      <c r="S45" s="709" t="s">
        <v>229</v>
      </c>
      <c r="T45" s="709"/>
      <c r="U45" s="233"/>
      <c r="V45" s="17"/>
      <c r="X45" s="780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09" t="s">
        <v>227</v>
      </c>
      <c r="I46" s="1725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0">
        <v>0</v>
      </c>
      <c r="Q46" s="613"/>
      <c r="R46" s="709">
        <v>42451</v>
      </c>
      <c r="S46" s="709" t="s">
        <v>229</v>
      </c>
      <c r="T46" s="709"/>
      <c r="U46" s="233"/>
      <c r="V46" s="17"/>
      <c r="X46" s="780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09" t="s">
        <v>438</v>
      </c>
      <c r="I47" s="1725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50">
        <v>0</v>
      </c>
      <c r="Q47" s="613"/>
      <c r="R47" s="709">
        <v>42489</v>
      </c>
      <c r="S47" s="709" t="s">
        <v>229</v>
      </c>
      <c r="T47" s="709"/>
      <c r="U47" s="233"/>
      <c r="V47" s="17"/>
      <c r="X47" s="780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51" t="s">
        <v>442</v>
      </c>
      <c r="H48" s="709" t="s">
        <v>443</v>
      </c>
      <c r="I48" s="1725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09" t="s">
        <v>444</v>
      </c>
      <c r="Q48" s="613"/>
      <c r="R48" s="709"/>
      <c r="S48" s="709" t="s">
        <v>445</v>
      </c>
      <c r="T48" s="709">
        <v>43374</v>
      </c>
      <c r="U48" s="233"/>
      <c r="V48" s="17"/>
      <c r="X48" s="780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51" t="s">
        <v>450</v>
      </c>
      <c r="H49" s="709" t="s">
        <v>451</v>
      </c>
      <c r="I49" s="1725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09" t="s">
        <v>444</v>
      </c>
      <c r="Q49" s="613"/>
      <c r="R49" s="709"/>
      <c r="S49" s="709" t="s">
        <v>445</v>
      </c>
      <c r="T49" s="709">
        <v>43405</v>
      </c>
      <c r="U49" s="233"/>
      <c r="V49" s="17"/>
      <c r="X49" s="780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51" t="s">
        <v>455</v>
      </c>
      <c r="H50" s="709" t="s">
        <v>456</v>
      </c>
      <c r="I50" s="1725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09" t="s">
        <v>444</v>
      </c>
      <c r="Q50" s="613"/>
      <c r="R50" s="709"/>
      <c r="S50" s="709" t="s">
        <v>445</v>
      </c>
      <c r="T50" s="709">
        <v>43405</v>
      </c>
      <c r="U50" s="233"/>
      <c r="V50" s="17"/>
      <c r="X50" s="780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51" t="s">
        <v>461</v>
      </c>
      <c r="H51" s="709" t="s">
        <v>462</v>
      </c>
      <c r="I51" s="1725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09" t="s">
        <v>444</v>
      </c>
      <c r="Q51" s="613"/>
      <c r="R51" s="709"/>
      <c r="S51" s="709" t="s">
        <v>445</v>
      </c>
      <c r="T51" s="709">
        <v>43405</v>
      </c>
      <c r="U51" s="233"/>
      <c r="V51" s="17"/>
      <c r="X51" s="780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51" t="s">
        <v>467</v>
      </c>
      <c r="H52" s="709" t="s">
        <v>468</v>
      </c>
      <c r="I52" s="1725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09" t="s">
        <v>444</v>
      </c>
      <c r="Q52" s="613"/>
      <c r="R52" s="709"/>
      <c r="S52" s="709" t="s">
        <v>445</v>
      </c>
      <c r="T52" s="709">
        <v>43405</v>
      </c>
      <c r="U52" s="233"/>
      <c r="V52" s="17"/>
      <c r="X52" s="780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51" t="s">
        <v>474</v>
      </c>
      <c r="H53" s="709" t="s">
        <v>475</v>
      </c>
      <c r="I53" s="1725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09" t="s">
        <v>444</v>
      </c>
      <c r="Q53" s="613"/>
      <c r="R53" s="709"/>
      <c r="S53" s="709" t="s">
        <v>445</v>
      </c>
      <c r="T53" s="709">
        <v>43466</v>
      </c>
      <c r="U53" s="233"/>
      <c r="V53" s="17"/>
      <c r="X53" s="780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51" t="s">
        <v>480</v>
      </c>
      <c r="H54" s="709" t="s">
        <v>481</v>
      </c>
      <c r="I54" s="1725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09" t="s">
        <v>444</v>
      </c>
      <c r="Q54" s="613"/>
      <c r="R54" s="709"/>
      <c r="S54" s="709" t="s">
        <v>445</v>
      </c>
      <c r="T54" s="709">
        <v>43435</v>
      </c>
      <c r="U54" s="233"/>
      <c r="V54" s="17"/>
      <c r="X54" s="780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51" t="s">
        <v>485</v>
      </c>
      <c r="H55" s="709" t="s">
        <v>486</v>
      </c>
      <c r="I55" s="1725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09" t="s">
        <v>444</v>
      </c>
      <c r="Q55" s="613"/>
      <c r="R55" s="709"/>
      <c r="S55" s="709" t="s">
        <v>445</v>
      </c>
      <c r="T55" s="709">
        <v>43435</v>
      </c>
      <c r="U55" s="233"/>
      <c r="V55" s="17"/>
      <c r="X55" s="780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51" t="s">
        <v>490</v>
      </c>
      <c r="H56" s="709" t="s">
        <v>491</v>
      </c>
      <c r="I56" s="1725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09" t="s">
        <v>444</v>
      </c>
      <c r="Q56" s="613"/>
      <c r="R56" s="709"/>
      <c r="S56" s="709" t="s">
        <v>445</v>
      </c>
      <c r="T56" s="709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51" t="s">
        <v>496</v>
      </c>
      <c r="H57" s="709" t="s">
        <v>497</v>
      </c>
      <c r="I57" s="1725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09" t="s">
        <v>444</v>
      </c>
      <c r="Q57" s="613"/>
      <c r="R57" s="709"/>
      <c r="S57" s="709" t="s">
        <v>445</v>
      </c>
      <c r="T57" s="709">
        <v>43435</v>
      </c>
      <c r="U57" s="233"/>
      <c r="V57" s="17"/>
      <c r="X57" s="834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09" t="s">
        <v>503</v>
      </c>
      <c r="I58" s="1725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09"/>
      <c r="Q58" s="613"/>
      <c r="R58" s="709"/>
      <c r="S58" s="709" t="s">
        <v>445</v>
      </c>
      <c r="T58" s="709">
        <v>43525</v>
      </c>
      <c r="U58" s="233"/>
      <c r="V58" s="17"/>
      <c r="X58" s="780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09" t="s">
        <v>508</v>
      </c>
      <c r="I59" s="1725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09"/>
      <c r="Q59" s="613"/>
      <c r="R59" s="709"/>
      <c r="S59" s="709" t="s">
        <v>445</v>
      </c>
      <c r="T59" s="709">
        <v>43525</v>
      </c>
      <c r="U59" s="233"/>
      <c r="V59" s="17"/>
      <c r="X59" s="780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09" t="s">
        <v>513</v>
      </c>
      <c r="I60" s="1725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09"/>
      <c r="Q60" s="613"/>
      <c r="R60" s="709"/>
      <c r="S60" s="709" t="s">
        <v>445</v>
      </c>
      <c r="T60" s="709">
        <v>43614</v>
      </c>
      <c r="X60" s="780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09">
        <v>43831</v>
      </c>
      <c r="H61" s="821" t="s">
        <v>518</v>
      </c>
      <c r="I61" s="1725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21"/>
      <c r="R61" s="821"/>
      <c r="S61" s="709" t="s">
        <v>519</v>
      </c>
      <c r="T61" s="821">
        <v>44105</v>
      </c>
      <c r="X61" s="613" t="s">
        <v>414</v>
      </c>
      <c r="Y61" s="816"/>
      <c r="AB61" t="s">
        <v>258</v>
      </c>
      <c r="AC61" s="8">
        <v>44772</v>
      </c>
      <c r="AD61" s="816"/>
      <c r="AS61"/>
      <c r="AX61"/>
    </row>
    <row r="62" spans="1:50">
      <c r="AD62" s="750"/>
    </row>
    <row r="64" spans="1:50">
      <c r="B64">
        <v>6896</v>
      </c>
    </row>
    <row r="66" spans="1:14" hidden="1">
      <c r="A66" s="625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2024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2">
        <v>0.26350000000000001</v>
      </c>
      <c r="L69" s="822">
        <v>0</v>
      </c>
      <c r="M69" s="822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2">
        <v>0.26350000000000001</v>
      </c>
      <c r="L70" s="822">
        <v>0</v>
      </c>
      <c r="M70" s="822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2">
        <v>0</v>
      </c>
      <c r="L71" s="822">
        <v>0</v>
      </c>
      <c r="M71" s="822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2">
        <v>0.22989999999999999</v>
      </c>
      <c r="L72" s="822">
        <v>0</v>
      </c>
      <c r="M72" s="822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2">
        <v>0</v>
      </c>
      <c r="H73" s="652">
        <v>0</v>
      </c>
      <c r="I73" s="652">
        <v>0</v>
      </c>
      <c r="J73" s="499">
        <v>0</v>
      </c>
      <c r="K73" s="652">
        <v>0</v>
      </c>
      <c r="L73" s="822">
        <v>0</v>
      </c>
      <c r="M73" s="822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2">
        <v>0.30859999999999999</v>
      </c>
      <c r="L74" s="822">
        <v>0</v>
      </c>
      <c r="M74" s="1441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2">
        <v>0.30859999999999999</v>
      </c>
      <c r="L75" s="822">
        <v>0.29099999999999998</v>
      </c>
      <c r="M75" s="1442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2">
        <v>0.57469999999999999</v>
      </c>
      <c r="L76" s="822">
        <v>0.56379999999999997</v>
      </c>
      <c r="M76" s="1442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2">
        <v>0.1933</v>
      </c>
      <c r="L77" s="822">
        <v>0</v>
      </c>
      <c r="M77" s="822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2">
        <v>0.38150000000000001</v>
      </c>
      <c r="L78" s="822">
        <v>0.2326</v>
      </c>
      <c r="M78" s="1442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2">
        <v>0.38150000000000001</v>
      </c>
      <c r="L79" s="822">
        <v>0.2326</v>
      </c>
      <c r="M79" s="1442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2">
        <v>0.1027</v>
      </c>
      <c r="L80" s="822">
        <v>9.9400000000000002E-2</v>
      </c>
      <c r="M80" s="1442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2">
        <v>0.1027</v>
      </c>
      <c r="L81" s="822">
        <v>9.9400000000000002E-2</v>
      </c>
      <c r="M81" s="1442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2">
        <v>0</v>
      </c>
      <c r="L82" s="822">
        <v>0</v>
      </c>
      <c r="M82" s="822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2">
        <v>0.67110000000000003</v>
      </c>
      <c r="L83" s="822">
        <v>0.63749999999999996</v>
      </c>
      <c r="M83" s="1442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2">
        <v>0.43730000000000002</v>
      </c>
      <c r="L84" s="822">
        <f>DescontosTE[[#This Row],[2019]]</f>
        <v>0.43730000000000002</v>
      </c>
      <c r="M84" s="1443">
        <f>DescontosTE[[#This Row],[2020]]</f>
        <v>0.43730000000000002</v>
      </c>
      <c r="N84" s="1443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2">
        <v>0.33379999999999999</v>
      </c>
      <c r="L85" s="822">
        <v>0.25619999999999998</v>
      </c>
      <c r="M85" s="1442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2">
        <v>0.42549999999999999</v>
      </c>
      <c r="L86" s="822">
        <v>0.37969999999999998</v>
      </c>
      <c r="M86" s="1442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2">
        <v>0.56830000000000003</v>
      </c>
      <c r="L87" s="822">
        <v>0.55110000000000003</v>
      </c>
      <c r="M87" s="1442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2">
        <v>0.2782</v>
      </c>
      <c r="L88" s="822">
        <v>0.2132</v>
      </c>
      <c r="M88" s="1442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2">
        <v>0.2782</v>
      </c>
      <c r="L89" s="822">
        <v>0.2132</v>
      </c>
      <c r="M89" s="1442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2">
        <v>0.2782</v>
      </c>
      <c r="L90" s="822">
        <v>0.2132</v>
      </c>
      <c r="M90" s="1442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5">
        <v>5.0599999999999999E-2</v>
      </c>
      <c r="L91" s="822">
        <v>0</v>
      </c>
      <c r="M91" s="822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79">
        <v>1.2E-2</v>
      </c>
      <c r="L92" s="822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79">
        <v>1.2E-2</v>
      </c>
      <c r="L93" s="822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79">
        <v>1.2E-2</v>
      </c>
      <c r="L94" s="822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79">
        <v>1.2E-2</v>
      </c>
      <c r="L95" s="822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79">
        <v>1.2E-2</v>
      </c>
      <c r="L96" s="822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2">
        <v>0.58150000000000002</v>
      </c>
      <c r="L97" s="822">
        <v>0.58150000000000002</v>
      </c>
      <c r="M97" s="1442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2">
        <v>0</v>
      </c>
      <c r="L98" s="822">
        <v>0</v>
      </c>
      <c r="M98" s="822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2">
        <v>0</v>
      </c>
      <c r="L99" s="822">
        <v>0</v>
      </c>
      <c r="M99" s="822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2">
        <v>0</v>
      </c>
      <c r="L100" s="822">
        <v>0</v>
      </c>
      <c r="M100" s="822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2">
        <v>0</v>
      </c>
      <c r="L101" s="822">
        <v>0</v>
      </c>
      <c r="M101" s="822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2">
        <v>0.61480000000000001</v>
      </c>
      <c r="L102" s="822">
        <v>0.55579999999999996</v>
      </c>
      <c r="M102" s="1442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2">
        <v>0.61480000000000001</v>
      </c>
      <c r="L103" s="822">
        <v>0.55579999999999996</v>
      </c>
      <c r="M103" s="1442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2">
        <v>0</v>
      </c>
      <c r="L104" s="822">
        <v>0</v>
      </c>
      <c r="M104" s="822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2">
        <v>0.44540000000000002</v>
      </c>
      <c r="L105" s="822">
        <v>0.44540000000000002</v>
      </c>
      <c r="M105" s="1442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8">
        <v>0</v>
      </c>
      <c r="K106" s="652">
        <v>0</v>
      </c>
      <c r="L106" s="822">
        <v>0</v>
      </c>
      <c r="M106" s="822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8">
        <v>0.31390000000000001</v>
      </c>
      <c r="K107" s="652">
        <v>0.31390000000000001</v>
      </c>
      <c r="L107" s="822">
        <v>7.5600000000000001E-2</v>
      </c>
      <c r="M107" s="1442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8">
        <v>0.31390000000000001</v>
      </c>
      <c r="K108" s="652">
        <v>0.31390000000000001</v>
      </c>
      <c r="L108" s="822">
        <v>7.5600000000000001E-2</v>
      </c>
      <c r="M108" s="1442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2">
        <v>0.48139999999999999</v>
      </c>
      <c r="L109" s="822">
        <v>0.48139999999999999</v>
      </c>
      <c r="M109" s="1442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2">
        <v>0.59009999999999996</v>
      </c>
      <c r="L110" s="822">
        <v>0.55869999999999997</v>
      </c>
      <c r="M110" s="1442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2">
        <v>0</v>
      </c>
      <c r="L111" s="822">
        <v>0</v>
      </c>
      <c r="M111" s="822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2">
        <v>0</v>
      </c>
      <c r="L112" s="822">
        <v>0</v>
      </c>
      <c r="M112" s="822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2">
        <v>0</v>
      </c>
      <c r="L113" s="822">
        <v>0</v>
      </c>
      <c r="M113" s="822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2">
        <v>0.48330000000000001</v>
      </c>
      <c r="L114" s="822">
        <v>0.35730000000000001</v>
      </c>
      <c r="M114" s="1442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2">
        <v>0.48330000000000001</v>
      </c>
      <c r="L115" s="822">
        <v>0.35730000000000001</v>
      </c>
      <c r="M115" s="1442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2">
        <v>0.81359999999999999</v>
      </c>
      <c r="L116" s="822">
        <v>0.81359999999999999</v>
      </c>
      <c r="M116" s="1442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2">
        <v>0</v>
      </c>
      <c r="L117" s="822">
        <v>0</v>
      </c>
      <c r="M117" s="822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2">
        <v>0</v>
      </c>
      <c r="L118" s="822">
        <v>0</v>
      </c>
      <c r="M118" s="822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2">
        <v>0.59</v>
      </c>
      <c r="L119" s="822">
        <v>0.59</v>
      </c>
      <c r="M119" s="1442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2">
        <v>0.43780000000000002</v>
      </c>
      <c r="L120" s="822">
        <v>0.42730000000000001</v>
      </c>
      <c r="M120" s="1442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2">
        <v>0.4995</v>
      </c>
      <c r="L121" s="822">
        <v>0.42730000000000001</v>
      </c>
      <c r="M121" s="1442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2">
        <v>0.4995</v>
      </c>
      <c r="L122" s="822">
        <v>0.42730000000000001</v>
      </c>
      <c r="M122" s="1442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2">
        <v>0</v>
      </c>
      <c r="L123" s="822">
        <v>0</v>
      </c>
      <c r="M123" s="822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2">
        <v>0</v>
      </c>
      <c r="L124" s="822">
        <v>0</v>
      </c>
      <c r="M124" s="822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2">
        <v>4.9599999999999998E-2</v>
      </c>
      <c r="L125" s="822">
        <v>3.3399999999999999E-2</v>
      </c>
      <c r="M125" s="1442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2">
        <v>2.6599999999999999E-2</v>
      </c>
      <c r="L126" s="822">
        <v>0</v>
      </c>
      <c r="M126" s="822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2">
        <v>0</v>
      </c>
      <c r="L127" s="822">
        <v>0</v>
      </c>
      <c r="M127" s="822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2">
        <v>0</v>
      </c>
      <c r="L128" s="822">
        <v>0</v>
      </c>
      <c r="M128" s="822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2">
        <v>0</v>
      </c>
      <c r="L129" s="822">
        <v>0</v>
      </c>
      <c r="M129" s="822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2">
        <v>0.34849999999999998</v>
      </c>
      <c r="L130" s="822">
        <v>0.28499999999999998</v>
      </c>
      <c r="M130" s="1442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2">
        <v>0.46889999999999998</v>
      </c>
      <c r="L131" s="822">
        <v>0.214</v>
      </c>
      <c r="M131" s="1442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2">
        <v>2.07E-2</v>
      </c>
      <c r="L132" s="822">
        <v>2.07E-2</v>
      </c>
      <c r="M132" s="1442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79">
        <v>0.38529999999999998</v>
      </c>
      <c r="L133" s="822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79">
        <v>0.38030000000000003</v>
      </c>
      <c r="L134" s="822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79">
        <v>0.1401</v>
      </c>
      <c r="L135" s="822">
        <v>0.1401</v>
      </c>
      <c r="M135" s="1442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79">
        <v>0.22370000000000001</v>
      </c>
      <c r="L136" s="822">
        <v>0.1273</v>
      </c>
      <c r="M136" s="1442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79">
        <v>0.42030000000000001</v>
      </c>
      <c r="L137" s="822">
        <v>0.33839999999999998</v>
      </c>
      <c r="M137" s="1442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79">
        <v>0.4153</v>
      </c>
      <c r="L138" s="822">
        <v>0.33839999999999998</v>
      </c>
      <c r="M138" s="1442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79">
        <v>4.3299999999999998E-2</v>
      </c>
      <c r="L139" s="822">
        <v>0</v>
      </c>
      <c r="M139" s="822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79">
        <v>4.3299999999999998E-2</v>
      </c>
      <c r="L140" s="822">
        <v>0</v>
      </c>
      <c r="M140" s="822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79">
        <v>0.3735</v>
      </c>
      <c r="L141" s="822">
        <v>0.29289999999999999</v>
      </c>
      <c r="M141" s="1442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79">
        <v>0.34079999999999999</v>
      </c>
      <c r="L142" s="822">
        <v>0.25679999999999997</v>
      </c>
      <c r="M142" s="1442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79">
        <v>0.28170000000000001</v>
      </c>
      <c r="L143" s="822">
        <v>0.25019999999999998</v>
      </c>
      <c r="M143" s="1442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79">
        <v>0.16650000000000001</v>
      </c>
      <c r="L144" s="822">
        <v>0.1057</v>
      </c>
      <c r="M144" s="1442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79">
        <v>0.33779999999999999</v>
      </c>
      <c r="L145" s="822">
        <v>0.20419999999999999</v>
      </c>
      <c r="M145" s="1442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79">
        <v>0.48630000000000001</v>
      </c>
      <c r="L146" s="822">
        <v>0.37609999999999999</v>
      </c>
      <c r="M146" s="1442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79">
        <v>0.18690000000000001</v>
      </c>
      <c r="L147" s="822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79">
        <v>0.18690000000000001</v>
      </c>
      <c r="L148" s="822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3"/>
      <c r="H149" s="823"/>
      <c r="I149" s="823"/>
      <c r="J149" s="500"/>
      <c r="K149" s="779"/>
      <c r="L149" s="822">
        <v>0.1426</v>
      </c>
      <c r="M149" s="1442">
        <v>0.1426</v>
      </c>
      <c r="AS149" s="816"/>
      <c r="AX149" s="816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2">
        <v>0.1426</v>
      </c>
      <c r="AS150" s="816"/>
      <c r="AX150" s="816"/>
    </row>
    <row r="154" spans="1:50">
      <c r="A154" s="625" t="s">
        <v>546</v>
      </c>
    </row>
    <row r="156" spans="1:50">
      <c r="A156" s="9" t="s">
        <v>22</v>
      </c>
      <c r="B156" s="626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2024</v>
      </c>
    </row>
    <row r="157" spans="1:50">
      <c r="A157" s="9" t="s">
        <v>521</v>
      </c>
      <c r="B157" s="627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8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8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8">
        <v>750.67</v>
      </c>
      <c r="L158">
        <v>694.52</v>
      </c>
      <c r="M158" s="408">
        <v>683.87</v>
      </c>
    </row>
    <row r="159" spans="1:50">
      <c r="A159" s="9" t="s">
        <v>521</v>
      </c>
      <c r="B159" s="627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8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8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8">
        <v>521.09</v>
      </c>
      <c r="L160">
        <v>586.86</v>
      </c>
      <c r="M160">
        <v>663.81999999999994</v>
      </c>
    </row>
    <row r="161" spans="1:13">
      <c r="A161" s="9" t="s">
        <v>521</v>
      </c>
      <c r="B161" s="627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8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8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8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7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8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8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8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7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8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8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8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7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8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8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8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7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8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8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8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7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8">
        <v>544.1</v>
      </c>
      <c r="L171">
        <v>589.07999999999993</v>
      </c>
      <c r="M171" s="630">
        <v>561.9</v>
      </c>
    </row>
    <row r="172" spans="1:13">
      <c r="A172" s="9" t="s">
        <v>521</v>
      </c>
      <c r="B172" s="628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8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7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8">
        <v>655.47</v>
      </c>
      <c r="L173">
        <v>654.13</v>
      </c>
      <c r="M173" s="408">
        <v>721.68</v>
      </c>
    </row>
    <row r="174" spans="1:13">
      <c r="A174" s="9" t="s">
        <v>521</v>
      </c>
      <c r="B174" s="628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8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7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8">
        <v>559.04</v>
      </c>
      <c r="L175">
        <v>605.22</v>
      </c>
      <c r="M175" s="408">
        <v>641.27</v>
      </c>
    </row>
    <row r="176" spans="1:13">
      <c r="A176" s="9" t="s">
        <v>521</v>
      </c>
      <c r="B176" s="628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8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7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8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8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8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7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8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8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8">
        <v>387.09</v>
      </c>
      <c r="L180">
        <v>395.17</v>
      </c>
      <c r="M180" s="408">
        <v>403.03</v>
      </c>
    </row>
    <row r="181" spans="1:13">
      <c r="A181" s="9" t="s">
        <v>521</v>
      </c>
      <c r="B181" s="627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8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8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8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7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8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8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8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7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8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8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8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7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8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8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8">
        <v>503.84</v>
      </c>
      <c r="L188">
        <v>506.04</v>
      </c>
      <c r="M188" s="408">
        <v>514.01</v>
      </c>
    </row>
    <row r="189" spans="1:13">
      <c r="A189" s="9" t="s">
        <v>521</v>
      </c>
      <c r="B189" s="627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8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8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8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7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8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8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8">
        <v>469.96</v>
      </c>
      <c r="L192">
        <v>496.82</v>
      </c>
      <c r="M192" s="408">
        <v>587.54</v>
      </c>
    </row>
    <row r="193" spans="1:16">
      <c r="A193" s="9" t="s">
        <v>521</v>
      </c>
      <c r="B193" s="627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8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29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8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8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8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8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8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8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8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8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8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8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8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8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8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4" t="s">
        <v>265</v>
      </c>
      <c r="C207" s="232"/>
      <c r="D207" s="232"/>
      <c r="E207" s="232"/>
      <c r="F207" s="232"/>
      <c r="G207" s="232"/>
      <c r="H207" s="232"/>
      <c r="K207" s="778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4" t="s">
        <v>258</v>
      </c>
      <c r="C208" s="232"/>
      <c r="D208" s="232"/>
      <c r="E208" s="232"/>
      <c r="F208" s="232"/>
      <c r="G208" s="232"/>
      <c r="H208" s="232"/>
      <c r="K208" s="778"/>
      <c r="L208">
        <f>357.76+231.81</f>
        <v>589.56999999999994</v>
      </c>
      <c r="M208" s="408">
        <v>677.96999999999991</v>
      </c>
      <c r="O208" s="811" t="s">
        <v>552</v>
      </c>
      <c r="P208" s="812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8">
        <f>397.32+270.9</f>
        <v>668.22</v>
      </c>
      <c r="L209">
        <v>683.67</v>
      </c>
      <c r="M209" s="507">
        <v>714.43999999999994</v>
      </c>
      <c r="N209">
        <v>838.02</v>
      </c>
      <c r="O209" s="811" t="s">
        <v>553</v>
      </c>
      <c r="P209" s="812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8">
        <v>469.78</v>
      </c>
      <c r="L210">
        <v>505.99000000000007</v>
      </c>
      <c r="M210" s="408">
        <v>532.24</v>
      </c>
      <c r="O210" s="811" t="s">
        <v>554</v>
      </c>
      <c r="P210" s="812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1" t="s">
        <v>555</v>
      </c>
      <c r="P211" s="812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8">
        <v>517.61</v>
      </c>
      <c r="L212">
        <v>512.77</v>
      </c>
      <c r="M212" s="408">
        <v>558.81000000000006</v>
      </c>
      <c r="O212" s="811" t="s">
        <v>556</v>
      </c>
      <c r="P212" s="812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8">
        <v>523.02</v>
      </c>
      <c r="L213">
        <v>550.20000000000005</v>
      </c>
      <c r="M213">
        <v>595.66</v>
      </c>
      <c r="N213">
        <v>678.65</v>
      </c>
      <c r="O213" s="811" t="s">
        <v>557</v>
      </c>
      <c r="P213" s="812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8">
        <v>490.18</v>
      </c>
      <c r="L214">
        <v>533.54999999999995</v>
      </c>
      <c r="M214" s="408">
        <v>619.94000000000005</v>
      </c>
      <c r="O214" s="811" t="s">
        <v>558</v>
      </c>
      <c r="P214" s="812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8">
        <f>303.99+243.7</f>
        <v>547.69000000000005</v>
      </c>
      <c r="L215">
        <v>541.15</v>
      </c>
      <c r="M215" s="817">
        <v>564.97</v>
      </c>
      <c r="N215">
        <v>606.77</v>
      </c>
      <c r="O215" s="811" t="s">
        <v>559</v>
      </c>
      <c r="P215" s="812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0">
        <v>487.3</v>
      </c>
      <c r="J216">
        <f>241.74+319.79</f>
        <v>561.53</v>
      </c>
      <c r="K216" s="778">
        <v>525.73</v>
      </c>
      <c r="L216" s="630">
        <v>546.10945347732809</v>
      </c>
      <c r="M216" s="408">
        <v>635.92000000000007</v>
      </c>
      <c r="N216" s="809"/>
      <c r="O216" s="811" t="s">
        <v>560</v>
      </c>
      <c r="P216" s="812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8">
        <v>531.87</v>
      </c>
      <c r="L217" s="630">
        <v>555.04999999999995</v>
      </c>
      <c r="M217" s="408">
        <v>622.58000000000004</v>
      </c>
      <c r="O217" s="811" t="s">
        <v>561</v>
      </c>
      <c r="P217" s="812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8">
        <v>515.59</v>
      </c>
      <c r="L218" s="630">
        <v>534.19000000000005</v>
      </c>
      <c r="M218" s="408">
        <v>594.49</v>
      </c>
      <c r="O218" s="811" t="s">
        <v>562</v>
      </c>
      <c r="P218" s="812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8">
        <v>530.72</v>
      </c>
      <c r="L219" s="630">
        <v>535.51</v>
      </c>
      <c r="M219" s="232">
        <v>580.43681504518099</v>
      </c>
      <c r="N219">
        <v>677.99</v>
      </c>
      <c r="O219" s="811" t="s">
        <v>563</v>
      </c>
      <c r="P219" s="812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8">
        <v>560.27</v>
      </c>
      <c r="L220" s="630">
        <v>589.57000000000005</v>
      </c>
      <c r="M220" s="408">
        <v>643.09</v>
      </c>
      <c r="O220" s="811" t="s">
        <v>564</v>
      </c>
      <c r="P220" s="812" t="e">
        <v>#N/A</v>
      </c>
    </row>
    <row r="221" spans="1:50">
      <c r="A221" t="s">
        <v>27</v>
      </c>
      <c r="B221" s="468" t="s">
        <v>291</v>
      </c>
      <c r="J221">
        <v>547.6</v>
      </c>
      <c r="K221" s="778">
        <v>515.07000000000005</v>
      </c>
      <c r="L221">
        <v>548.96999999999991</v>
      </c>
      <c r="M221" s="408">
        <v>629.70000000000005</v>
      </c>
      <c r="O221" s="811" t="s">
        <v>565</v>
      </c>
      <c r="P221" s="812" t="e">
        <v>#N/A</v>
      </c>
    </row>
    <row r="222" spans="1:50">
      <c r="A222" t="s">
        <v>27</v>
      </c>
      <c r="B222" s="468" t="s">
        <v>545</v>
      </c>
      <c r="K222" s="778"/>
      <c r="L222">
        <v>571.71</v>
      </c>
      <c r="M222" s="408">
        <v>605.55000000000007</v>
      </c>
      <c r="O222" s="811" t="s">
        <v>566</v>
      </c>
      <c r="P222" s="824" t="e">
        <v>#N/A</v>
      </c>
      <c r="AS222" s="816"/>
      <c r="AX222" s="816"/>
    </row>
    <row r="223" spans="1:50">
      <c r="O223" s="811" t="s">
        <v>567</v>
      </c>
      <c r="P223" s="812" t="e">
        <v>#N/A</v>
      </c>
    </row>
    <row r="224" spans="1:50">
      <c r="O224" s="811" t="s">
        <v>568</v>
      </c>
      <c r="P224" s="812" t="e">
        <v>#N/A</v>
      </c>
    </row>
    <row r="225" spans="11:16">
      <c r="K225" s="812">
        <v>547.69000000000005</v>
      </c>
      <c r="O225" s="811" t="s">
        <v>569</v>
      </c>
      <c r="P225" s="812" t="e">
        <v>#N/A</v>
      </c>
    </row>
    <row r="226" spans="11:16">
      <c r="O226" s="811" t="s">
        <v>570</v>
      </c>
      <c r="P226" s="812" t="e">
        <v>#N/A</v>
      </c>
    </row>
    <row r="227" spans="11:16">
      <c r="O227" s="811" t="s">
        <v>571</v>
      </c>
      <c r="P227" s="813" t="e">
        <v>#N/A</v>
      </c>
    </row>
    <row r="228" spans="11:16">
      <c r="O228" s="811" t="s">
        <v>572</v>
      </c>
      <c r="P228" s="813" t="e">
        <v>#N/A</v>
      </c>
    </row>
    <row r="229" spans="11:16">
      <c r="O229" s="811" t="s">
        <v>573</v>
      </c>
      <c r="P229" s="813" t="e">
        <v>#N/A</v>
      </c>
    </row>
    <row r="230" spans="11:16">
      <c r="O230" s="811" t="s">
        <v>574</v>
      </c>
      <c r="P230" s="813" t="e">
        <v>#N/A</v>
      </c>
    </row>
    <row r="231" spans="11:16">
      <c r="O231" s="811" t="s">
        <v>575</v>
      </c>
      <c r="P231" s="813" t="e">
        <v>#N/A</v>
      </c>
    </row>
    <row r="232" spans="11:16">
      <c r="O232" s="811" t="s">
        <v>576</v>
      </c>
      <c r="P232" s="813" t="e">
        <v>#N/A</v>
      </c>
    </row>
    <row r="233" spans="11:16">
      <c r="O233" s="811" t="s">
        <v>577</v>
      </c>
      <c r="P233" s="813" t="e">
        <v>#N/A</v>
      </c>
    </row>
    <row r="234" spans="11:16">
      <c r="O234" s="811" t="s">
        <v>578</v>
      </c>
      <c r="P234" s="813" t="e">
        <v>#N/A</v>
      </c>
    </row>
    <row r="235" spans="11:16">
      <c r="O235" s="811" t="s">
        <v>579</v>
      </c>
      <c r="P235" s="813">
        <v>979.23</v>
      </c>
    </row>
    <row r="236" spans="11:16">
      <c r="O236" s="811" t="s">
        <v>580</v>
      </c>
      <c r="P236" s="813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D17" zoomScale="89" zoomScaleNormal="89" workbookViewId="0">
      <selection activeCell="G20" sqref="G20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59" t="s">
        <v>2156</v>
      </c>
      <c r="C1" s="960"/>
      <c r="D1" s="960"/>
      <c r="M1" s="534"/>
      <c r="BA1" s="472"/>
      <c r="BB1" s="472"/>
      <c r="BC1" s="472"/>
      <c r="BD1" s="472"/>
    </row>
    <row r="2" spans="1:84" ht="25.5">
      <c r="B2" s="535" t="str">
        <f>CAPA!C9</f>
        <v>Certrel</v>
      </c>
      <c r="C2" s="621"/>
      <c r="D2" s="536"/>
      <c r="E2" s="576" t="s">
        <v>581</v>
      </c>
      <c r="F2" s="576"/>
      <c r="G2" s="576"/>
      <c r="H2" s="599"/>
      <c r="M2" s="534"/>
      <c r="AK2" s="473"/>
      <c r="AZ2" s="1781" t="s">
        <v>582</v>
      </c>
      <c r="BA2" s="1782"/>
      <c r="BB2" s="1782"/>
      <c r="BC2" s="1782"/>
      <c r="BD2" s="1782"/>
      <c r="BE2" s="1782"/>
      <c r="BF2" s="1782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2022</v>
      </c>
      <c r="F3" s="571"/>
      <c r="G3" s="571"/>
      <c r="H3" s="524"/>
      <c r="M3" s="534"/>
      <c r="O3" s="376">
        <f>VALUE(RIGHT(P3,2))</f>
        <v>29</v>
      </c>
      <c r="P3" s="961" t="str">
        <f>VLOOKUP($C$9,Informacoes[],4,FALSE)</f>
        <v>C29</v>
      </c>
      <c r="Q3" s="961" t="str">
        <f>VLOOKUP($C$9,Informacoes[],2,FALSE)</f>
        <v>Cooperativa de Energia Treviso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3" t="s">
        <v>2023</v>
      </c>
      <c r="F4" s="743"/>
      <c r="G4" s="743"/>
      <c r="H4" s="768"/>
      <c r="I4" s="537"/>
      <c r="M4" s="534"/>
      <c r="AZ4" s="834"/>
      <c r="BA4" s="962">
        <v>40940</v>
      </c>
      <c r="BB4" s="962" t="s">
        <v>548</v>
      </c>
      <c r="BC4" s="962">
        <v>41306</v>
      </c>
      <c r="BD4" s="962">
        <v>41671</v>
      </c>
      <c r="BE4" s="963">
        <v>42036</v>
      </c>
      <c r="BF4" s="964">
        <v>42401</v>
      </c>
      <c r="BG4" s="964">
        <v>42767</v>
      </c>
      <c r="BI4" s="965"/>
      <c r="BJ4" s="965"/>
      <c r="BK4" s="965"/>
      <c r="BL4" s="965"/>
      <c r="BM4" s="966"/>
      <c r="BN4" s="966"/>
      <c r="BO4" s="966"/>
      <c r="BP4" s="966"/>
      <c r="BQ4" s="966"/>
      <c r="BR4" s="966"/>
      <c r="BS4" s="966"/>
      <c r="BT4" s="966"/>
      <c r="BU4" s="966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3" t="s">
        <v>583</v>
      </c>
      <c r="F5" s="743"/>
      <c r="G5" s="743"/>
      <c r="H5" s="753"/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2158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51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51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7" t="s">
        <v>349</v>
      </c>
      <c r="D9" s="9"/>
      <c r="E9" s="1783" t="s">
        <v>585</v>
      </c>
      <c r="F9" s="1784"/>
      <c r="G9" s="1784"/>
      <c r="H9" s="1784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68" t="s">
        <v>587</v>
      </c>
      <c r="C10" s="969" t="str">
        <f>IF(C9="Cercos","N/NE","S/SE/CO")</f>
        <v>S/SE/CO</v>
      </c>
      <c r="D10" s="9"/>
      <c r="E10" s="594"/>
      <c r="F10" s="595" t="s">
        <v>588</v>
      </c>
      <c r="G10" s="596">
        <v>44797.393865740742</v>
      </c>
      <c r="H10" s="970"/>
      <c r="I10" s="591"/>
      <c r="J10" s="742" t="s">
        <v>589</v>
      </c>
      <c r="K10" s="971">
        <f>IFERROR(O3+200,0)</f>
        <v>229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44816.384872685187</v>
      </c>
      <c r="H11" s="592"/>
      <c r="I11" s="593"/>
      <c r="J11" s="571" t="s">
        <v>591</v>
      </c>
      <c r="K11" s="598">
        <v>5369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746</v>
      </c>
      <c r="G12" s="596">
        <v>44797.39472222222</v>
      </c>
      <c r="H12" s="592"/>
      <c r="I12" s="593"/>
      <c r="J12" s="743" t="s">
        <v>593</v>
      </c>
      <c r="K12" s="752">
        <f>IF(idsreag=P7,Q7,idagente)</f>
        <v>5369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2">
        <f ca="1">YEAR(TODAY())</f>
        <v>2022</v>
      </c>
      <c r="D13" s="261"/>
      <c r="E13" s="594"/>
      <c r="F13" s="595" t="s">
        <v>595</v>
      </c>
      <c r="G13" s="596">
        <v>44803.671585648146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44803.671678240738</v>
      </c>
      <c r="H14" s="592"/>
      <c r="I14" s="9"/>
      <c r="J14" s="742" t="s">
        <v>599</v>
      </c>
      <c r="K14" s="971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44816.483506944445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44797.398495370369</v>
      </c>
      <c r="H16" s="973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44797.401724537034</v>
      </c>
      <c r="H17" s="9"/>
      <c r="I17" s="370"/>
      <c r="J17" s="571" t="s">
        <v>606</v>
      </c>
      <c r="K17" s="974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10" t="str">
        <f ca="1">C110</f>
        <v>REAJUSTE</v>
      </c>
      <c r="D18" s="261"/>
      <c r="E18" s="594"/>
      <c r="F18" s="595" t="s">
        <v>2130</v>
      </c>
      <c r="G18" s="596">
        <v>44797.40353009259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1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 t="s">
        <v>2420</v>
      </c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0" t="s">
        <v>610</v>
      </c>
      <c r="C26" s="581"/>
      <c r="D26" s="975"/>
      <c r="E26" s="976"/>
      <c r="F26" s="977"/>
      <c r="G26" s="978"/>
      <c r="H26" s="975"/>
      <c r="I26" s="975"/>
      <c r="J26" s="975"/>
      <c r="K26" s="979"/>
      <c r="L26" s="980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799" t="s">
        <v>2405</v>
      </c>
      <c r="D28" s="1799"/>
      <c r="E28" s="9"/>
      <c r="F28" s="580" t="s">
        <v>612</v>
      </c>
      <c r="G28" s="581"/>
      <c r="H28" s="581"/>
      <c r="I28" s="9"/>
      <c r="J28" s="1681" t="s">
        <v>613</v>
      </c>
      <c r="K28" s="1682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2" t="s">
        <v>614</v>
      </c>
      <c r="G29" s="742"/>
      <c r="H29" s="1752">
        <v>0.10929999999999999</v>
      </c>
      <c r="I29" s="9"/>
      <c r="J29" s="1683" t="s">
        <v>615</v>
      </c>
      <c r="K29" s="1684">
        <f>BD!C26</f>
        <v>13030918.27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3" t="s">
        <v>616</v>
      </c>
      <c r="G30" s="743"/>
      <c r="H30" s="981"/>
      <c r="I30" s="9"/>
      <c r="J30" s="1685" t="s">
        <v>617</v>
      </c>
      <c r="K30" s="1686" cm="1">
        <f t="array" ref="K30">IFERROR(limiteParcelaB[Limite_PB]*(1+K18),0)</f>
        <v>14343053.986877607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802" t="s">
        <v>618</v>
      </c>
      <c r="C31" s="1802"/>
      <c r="D31" s="773"/>
      <c r="E31" s="9"/>
      <c r="F31" s="982"/>
      <c r="G31" s="982"/>
      <c r="H31" s="983"/>
      <c r="I31" s="9"/>
      <c r="J31" s="1687" t="s">
        <v>619</v>
      </c>
      <c r="K31" s="1688">
        <f>D32+D33+D34</f>
        <v>14343053.99</v>
      </c>
      <c r="L31" s="1695" t="s">
        <v>620</v>
      </c>
      <c r="M31" s="1695" t="s">
        <v>2277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4" t="s">
        <v>621</v>
      </c>
      <c r="C32" s="984"/>
      <c r="D32" s="1750">
        <v>11387722.43</v>
      </c>
      <c r="E32" s="9"/>
      <c r="F32" s="985" t="s">
        <v>622</v>
      </c>
      <c r="G32" s="986"/>
      <c r="H32" s="986"/>
      <c r="I32" s="9"/>
      <c r="J32" s="1683" t="s">
        <v>623</v>
      </c>
      <c r="K32" s="1689" cm="1">
        <f t="array" aca="1" ref="K32" ca="1">subvencao[Subvencao Anual]*(VLOOKUP(DATE(AnoRefTar,MONTH(M32)-1,1),Índices!B6:F500,3,FALSE)/VLOOKUP(DATE(YEAR(M32),MONTH(L32)-1,1),Índices!B6:F500,3,FALSE))</f>
        <v>2548674.1739379396</v>
      </c>
      <c r="L32" s="1694" cm="1">
        <f t="array" ref="L32">subvencao[Data_Referencia Subvencao]</f>
        <v>44430</v>
      </c>
      <c r="M32" s="1694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4" t="s">
        <v>624</v>
      </c>
      <c r="C33" s="984"/>
      <c r="D33" s="1751">
        <v>2955331.56</v>
      </c>
      <c r="E33" s="9"/>
      <c r="F33" s="571" t="s">
        <v>625</v>
      </c>
      <c r="G33" s="571"/>
      <c r="H33" s="487"/>
      <c r="I33" s="9"/>
      <c r="J33" s="1687" t="s">
        <v>626</v>
      </c>
      <c r="K33" s="1690">
        <f ca="1">LnkTXTISubvencaoPB/12</f>
        <v>212389.5144948283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87"/>
      <c r="C34" s="987"/>
      <c r="D34" s="988"/>
      <c r="E34" s="9"/>
      <c r="F34" s="743" t="s">
        <v>627</v>
      </c>
      <c r="G34" s="743"/>
      <c r="H34" s="989"/>
      <c r="I34" s="9"/>
      <c r="J34" s="1683" t="s">
        <v>628</v>
      </c>
      <c r="K34" s="1691">
        <f>LinkTXTPR</f>
        <v>8.9700000000000002E-2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0"/>
      <c r="E35" s="9"/>
      <c r="F35" s="583"/>
      <c r="G35" s="991"/>
      <c r="H35" s="463"/>
      <c r="I35" s="9"/>
      <c r="J35" s="1685" t="s">
        <v>629</v>
      </c>
      <c r="K35" s="1692">
        <f ca="1">IFERROR(Energia!M20/((Energia!M5+Energia!M6-Energia!M7+Energia!N16)+Energia!M20),0)</f>
        <v>0.10319399577352981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5"/>
      <c r="D36" s="782"/>
      <c r="E36" s="9"/>
      <c r="F36" s="687" t="s">
        <v>634</v>
      </c>
      <c r="G36" s="688"/>
      <c r="H36" s="463"/>
      <c r="I36" s="9"/>
      <c r="J36" s="1687" t="s">
        <v>630</v>
      </c>
      <c r="K36" s="1693">
        <f ca="1">IFERROR(LNKTXTPercperdas,0)</f>
        <v>0.10319399577352981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7" t="s">
        <v>636</v>
      </c>
      <c r="G37" s="689">
        <v>573.02</v>
      </c>
      <c r="H37" s="463"/>
      <c r="I37" s="9"/>
      <c r="J37" s="270"/>
      <c r="K37" s="463"/>
      <c r="L37" s="757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93"/>
      <c r="G39" s="1793"/>
      <c r="H39" s="1549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3" t="str">
        <f ca="1">"Variação processo anterior e "&amp;AnoRevRea</f>
        <v>Variação processo anterior e 2022</v>
      </c>
      <c r="H40" s="783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2">
        <f>BD!C5</f>
        <v>44152.002</v>
      </c>
      <c r="E41" s="9"/>
      <c r="G41" s="576" t="s">
        <v>632</v>
      </c>
      <c r="H41" s="993">
        <f ca="1">IFERROR(Calc_Mercado!J15,0)</f>
        <v>1.5120673350214053E-2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55625.064014916803</v>
      </c>
      <c r="E42" s="9"/>
      <c r="G42" s="571" t="s">
        <v>40</v>
      </c>
      <c r="H42" s="993">
        <f ca="1">LnkTxtVarTFSEE</f>
        <v>7.2288120228954478E-2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2415578.8911799998</v>
      </c>
      <c r="E43" s="9"/>
      <c r="G43" s="571" t="s">
        <v>41</v>
      </c>
      <c r="H43" s="578">
        <f ca="1">LnkTxtVarCDE</f>
        <v>0.45119176358612156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0</v>
      </c>
      <c r="E45" s="9"/>
      <c r="G45" s="571" t="s">
        <v>46</v>
      </c>
      <c r="H45" s="463" t="str">
        <f ca="1">Resultado!F20</f>
        <v>-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409178.82124000002</v>
      </c>
      <c r="E46" s="9"/>
      <c r="G46" s="571" t="s">
        <v>47</v>
      </c>
      <c r="H46" s="578">
        <f ca="1">Resultado!F21</f>
        <v>0.51706860821689737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2032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2" t="s">
        <v>635</v>
      </c>
      <c r="C49" s="742"/>
      <c r="D49" s="994">
        <f>BD!C18</f>
        <v>0</v>
      </c>
      <c r="E49" s="9"/>
      <c r="G49" s="742" t="s">
        <v>635</v>
      </c>
      <c r="H49" s="993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3" t="s">
        <v>638</v>
      </c>
      <c r="C51" s="743"/>
      <c r="D51" s="995"/>
      <c r="E51" s="9"/>
      <c r="G51" s="743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996">
        <f>BD!C25</f>
        <v>4378193.38325</v>
      </c>
      <c r="E52" s="9"/>
      <c r="G52" s="576" t="s">
        <v>639</v>
      </c>
      <c r="H52" s="579">
        <f ca="1">Resultado!F32</f>
        <v>1.8069047721142706E-2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996">
        <f>BD!C26</f>
        <v>13030918.27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997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998" t="s">
        <v>215</v>
      </c>
      <c r="C58" s="999"/>
      <c r="D58" s="769"/>
      <c r="E58" s="1798">
        <v>0</v>
      </c>
      <c r="F58" s="1798"/>
      <c r="G58" s="376"/>
      <c r="L58" s="758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59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8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5" t="s">
        <v>646</v>
      </c>
      <c r="C62" s="716" t="s">
        <v>647</v>
      </c>
      <c r="D62" s="716" t="s">
        <v>192</v>
      </c>
      <c r="E62" s="1800" t="s">
        <v>648</v>
      </c>
      <c r="F62" s="1801"/>
      <c r="G62" s="716" t="s">
        <v>649</v>
      </c>
      <c r="H62" s="717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1">
        <f>Indexador!B34</f>
        <v>44348</v>
      </c>
      <c r="C63" s="727"/>
      <c r="D63" s="727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87"/>
      <c r="F63" s="1788"/>
      <c r="G63" s="727">
        <f>IFERROR(VLOOKUP(B63,transmissorapiscofins[#All],2,FALSE),0)</f>
        <v>0</v>
      </c>
      <c r="H63" s="728"/>
      <c r="I63" s="9" t="s">
        <v>2407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2">
        <f>Indexador!B35</f>
        <v>44378</v>
      </c>
      <c r="C64" s="733"/>
      <c r="D64" s="733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89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90"/>
      <c r="G64" s="733">
        <f>IFERROR(VLOOKUP(B64,transmissorapiscofins[#All],2,FALSE),0)</f>
        <v>0</v>
      </c>
      <c r="H64" s="719">
        <f>SUMIF(BD!$A$41:$A$57,B64,BD!$C$41:$C$57)</f>
        <v>0</v>
      </c>
      <c r="I64" s="9" t="s">
        <v>2406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8">
        <f>Indexador!B36</f>
        <v>44409</v>
      </c>
      <c r="C65" s="734"/>
      <c r="D65" s="734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91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92"/>
      <c r="G65" s="734">
        <f>IFERROR(VLOOKUP(B65,transmissorapiscofins[#All],2,FALSE),0)</f>
        <v>0</v>
      </c>
      <c r="H65" s="741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3">
        <f>Indexador!B37</f>
        <v>44440</v>
      </c>
      <c r="C66" s="735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2483.7200000000003</v>
      </c>
      <c r="D66" s="736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5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86"/>
      <c r="G66" s="736">
        <f>IFERROR(VLOOKUP(B66,transmissorapiscofins[#All],2,FALSE),0)</f>
        <v>0</v>
      </c>
      <c r="H66" s="719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3">
        <f>Indexador!B38</f>
        <v>44470</v>
      </c>
      <c r="C67" s="735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17584.009999999998</v>
      </c>
      <c r="D67" s="735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6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97"/>
      <c r="G67" s="735">
        <f>IFERROR(VLOOKUP(B67,transmissorapiscofins[#All],2,FALSE),0)</f>
        <v>0</v>
      </c>
      <c r="H67" s="719">
        <f>SUMIF(BD!$A$41:$A$57,B67,BD!$C$41:$C$57)</f>
        <v>0</v>
      </c>
      <c r="I67" s="9"/>
      <c r="J67" s="9"/>
      <c r="K67" s="9"/>
      <c r="L67" s="17"/>
      <c r="M67" s="556"/>
      <c r="N67" s="740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3">
        <f>Indexador!B39</f>
        <v>44501</v>
      </c>
      <c r="C68" s="735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30271.480000000003</v>
      </c>
      <c r="D68" s="735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6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97"/>
      <c r="G68" s="735">
        <f>IFERROR(VLOOKUP(B68,transmissorapiscofins[#All],2,FALSE),0)</f>
        <v>0</v>
      </c>
      <c r="H68" s="719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3">
        <f>Indexador!B40</f>
        <v>44531</v>
      </c>
      <c r="C69" s="735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32422.89</v>
      </c>
      <c r="D69" s="735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6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97"/>
      <c r="G69" s="735">
        <f>IFERROR(VLOOKUP(B69,transmissorapiscofins[#All],2,FALSE),0)</f>
        <v>0</v>
      </c>
      <c r="H69" s="719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3">
        <f>Indexador!B41</f>
        <v>44562</v>
      </c>
      <c r="C70" s="735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30355.45</v>
      </c>
      <c r="D70" s="735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6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97"/>
      <c r="G70" s="735">
        <f>IFERROR(VLOOKUP(B70,transmissorapiscofins[#All],2,FALSE),0)</f>
        <v>0</v>
      </c>
      <c r="H70" s="719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3">
        <f>Indexador!B42</f>
        <v>44593</v>
      </c>
      <c r="C71" s="735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42099.740000000005</v>
      </c>
      <c r="D71" s="735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6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97"/>
      <c r="G71" s="735">
        <f>IFERROR(VLOOKUP(B71,transmissorapiscofins[#All],2,FALSE),0)</f>
        <v>0</v>
      </c>
      <c r="H71" s="719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3">
        <f>Indexador!B43</f>
        <v>44621</v>
      </c>
      <c r="C72" s="735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23609.41</v>
      </c>
      <c r="D72" s="735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6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97"/>
      <c r="G72" s="735">
        <f>IFERROR(VLOOKUP(B72,transmissorapiscofins[#All],2,FALSE),0)</f>
        <v>0</v>
      </c>
      <c r="H72" s="719">
        <f>SUMIF(BD!$A$41:$A$57,B72,BD!$C$41:$C$57)</f>
        <v>0</v>
      </c>
      <c r="J72" s="474" t="s">
        <v>651</v>
      </c>
      <c r="K72" s="474" t="s">
        <v>652</v>
      </c>
      <c r="L72" s="590" t="s">
        <v>652</v>
      </c>
      <c r="M72" s="590" t="s">
        <v>653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3">
        <f>Indexador!B44</f>
        <v>44652</v>
      </c>
      <c r="C73" s="735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28904.140000000003</v>
      </c>
      <c r="D73" s="735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6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97"/>
      <c r="G73" s="735">
        <f>IFERROR(VLOOKUP(B73,transmissorapiscofins[#All],2,FALSE),0)</f>
        <v>0</v>
      </c>
      <c r="H73" s="719">
        <f>SUMIF(BD!$A$41:$A$57,B73,BD!$C$41:$C$57)</f>
        <v>0</v>
      </c>
      <c r="J73" s="1000" t="str">
        <f ca="1">IFERROR(VLOOKUP(TRUE,BD!D41:F56,3,FALSE),"todos os meses")</f>
        <v>todos os meses</v>
      </c>
      <c r="K73" s="1001" t="s">
        <v>654</v>
      </c>
      <c r="L73" s="1002">
        <f ca="1">IF(Energia!F24*2/3=0,0.0000001,Energia!F24*2/3)</f>
        <v>4118200.7834815551</v>
      </c>
      <c r="M73" s="1003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3">
        <f>Indexador!B45</f>
        <v>44682</v>
      </c>
      <c r="C74" s="735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18348.580000000002</v>
      </c>
      <c r="D74" s="735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6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97"/>
      <c r="G74" s="735">
        <f>IFERROR(VLOOKUP(B74,transmissorapiscofins[#All],2,FALSE),0)</f>
        <v>0</v>
      </c>
      <c r="H74" s="719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3">
        <f>Indexador!B46</f>
        <v>44713</v>
      </c>
      <c r="C75" s="735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29244.92</v>
      </c>
      <c r="D75" s="735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6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97"/>
      <c r="G75" s="735">
        <f>IFERROR(VLOOKUP(B75,transmissorapiscofins[#All],2,FALSE),0)</f>
        <v>0</v>
      </c>
      <c r="H75" s="719">
        <f>SUMIF(BD!$A$41:$A$57,B75,BD!$C$41:$C$57)</f>
        <v>247922.10200000001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3">
        <f>Indexador!B47</f>
        <v>44743</v>
      </c>
      <c r="C76" s="735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36186.879999999997</v>
      </c>
      <c r="D76" s="735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6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97"/>
      <c r="G76" s="735">
        <f>IFERROR(VLOOKUP(B76,transmissorapiscofins[#All],2,FALSE),0)</f>
        <v>0</v>
      </c>
      <c r="H76" s="719">
        <f>SUMIF(BD!$A$41:$A$57,B76,BD!$C$41:$C$57)</f>
        <v>2.12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4">
        <f>Indexador!B48</f>
        <v>44774</v>
      </c>
      <c r="C77" s="737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44971.679999999993</v>
      </c>
      <c r="D77" s="833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94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5"/>
      <c r="G77" s="833">
        <f>IFERROR(VLOOKUP(B77,transmissorapiscofins[#All],2,FALSE),0)</f>
        <v>0</v>
      </c>
      <c r="H77" s="825">
        <f>SUMIF(BD!$A$41:$A$57,B77,BD!$C$41:$C$57)</f>
        <v>0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60"/>
      <c r="M79" s="739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655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59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1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4"/>
      <c r="D82" s="1005"/>
      <c r="E82" s="1005"/>
      <c r="F82" s="1005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2"/>
      <c r="C83" s="1006"/>
      <c r="D83" s="1007"/>
      <c r="E83" s="1007"/>
      <c r="F83" s="1007"/>
      <c r="G83" s="376"/>
      <c r="H83" s="555"/>
      <c r="I83" s="754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2"/>
      <c r="C85" s="1008"/>
      <c r="D85" s="1009"/>
      <c r="E85" s="1009"/>
      <c r="F85" s="1009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1"/>
      <c r="D86" s="632"/>
      <c r="E86" s="632"/>
      <c r="F86" s="632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3"/>
      <c r="C87" s="1010"/>
      <c r="D87" s="1011"/>
      <c r="E87" s="1011"/>
      <c r="F87" s="1011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656</v>
      </c>
      <c r="C88" s="603" t="str">
        <f>VLOOKUP(LnkTXTSigla,Informacoes[],7,FALSE)</f>
        <v>35/2010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657</v>
      </c>
      <c r="C89" s="603" t="str">
        <f>VLOOKUP(LnkTXTSigla,Informacoes[],8,FALSE)</f>
        <v>26 de fevereiro de 2010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658</v>
      </c>
      <c r="C90" s="605" t="str">
        <f>Q3</f>
        <v>Cooperativa de Energia Treviso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659</v>
      </c>
      <c r="C91" s="605" t="str">
        <f>C9</f>
        <v>Certrel</v>
      </c>
      <c r="D91" s="527"/>
      <c r="E91" s="528"/>
      <c r="F91" s="527"/>
      <c r="H91" s="754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660</v>
      </c>
      <c r="C92" s="603" t="str">
        <f>D92&amp;" - "&amp;E92</f>
        <v>Treviso - SC</v>
      </c>
      <c r="D92" s="529" t="str">
        <f>VLOOKUP(LnkTXTSigla,Informacoes[],5,FALSE)</f>
        <v>Treviso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661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662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663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664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665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666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667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668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669</v>
      </c>
      <c r="C103" s="610">
        <f>Resultado!D32</f>
        <v>4882651.6637400007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670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671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672</v>
      </c>
      <c r="C106" s="611">
        <f>ROUND(Calc_Mercado!J18/1000,0)</f>
        <v>5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673</v>
      </c>
      <c r="C107" s="611">
        <f ca="1">ROUND(Mercado_RA0_Reais/1000000,0)</f>
        <v>28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3" t="s">
        <v>207</v>
      </c>
      <c r="C109" s="1012" t="str">
        <f>IF(E109=0,"!vazio!"," e "&amp;E109)</f>
        <v>!vazio!</v>
      </c>
      <c r="D109" s="1013"/>
      <c r="E109" s="1013">
        <f>VLOOKUP(LnkTXTSigla,Informacoes[],13,FALSE)</f>
        <v>0</v>
      </c>
      <c r="F109" s="1013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3" t="s">
        <v>674</v>
      </c>
      <c r="C110" s="1012" t="str">
        <f ca="1">IF(AnoRevRea=VLOOKUP(LnkTXTSigla,Informacoes[],15,FALSE),"REVISÃO","REAJUSTE")</f>
        <v>REAJUSTE</v>
      </c>
      <c r="D110" s="1013"/>
      <c r="E110" s="1013"/>
      <c r="F110" s="1013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3" t="s">
        <v>675</v>
      </c>
      <c r="C111" s="1012" t="str">
        <f ca="1">IF(C110="Reajuste", "Reajuste Tarifário Anual - RTA", "Revisão Tarifária Periódica - RTP")</f>
        <v>Reajuste Tarifário Anual - RTA</v>
      </c>
      <c r="D111" s="1012"/>
      <c r="E111" s="1012"/>
      <c r="F111" s="1012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3"/>
      <c r="C112" s="747"/>
      <c r="D112" s="747"/>
      <c r="E112" s="747"/>
      <c r="F112" s="747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2" t="s">
        <v>676</v>
      </c>
      <c r="C113" s="745" t="str">
        <f>VLOOKUP(C9,Informacoes[],19,FALSE)</f>
        <v>Não</v>
      </c>
      <c r="D113" s="745"/>
      <c r="E113" s="745"/>
      <c r="F113" s="745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3" t="s">
        <v>677</v>
      </c>
      <c r="C114" s="746">
        <f>VLOOKUP(C9,Informacoes[],20,FALSE)</f>
        <v>0</v>
      </c>
      <c r="D114" s="746"/>
      <c r="E114" s="746"/>
      <c r="F114" s="746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678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4" t="s">
        <v>198</v>
      </c>
      <c r="C119" s="1014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5" t="str">
        <f>LnkTXTSigla</f>
        <v>Certrel</v>
      </c>
      <c r="C120" s="1016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E66:F66"/>
    <mergeCell ref="E63:F63"/>
    <mergeCell ref="E64:F64"/>
    <mergeCell ref="E65:F65"/>
    <mergeCell ref="F39:G39"/>
  </mergeCells>
  <dataValidations disablePrompts="1"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autoPict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171450</xdr:colOff>
                <xdr:row>12</xdr:row>
                <xdr:rowOff>190500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r:id="rId11">
            <anchor moveWithCells="1">
              <from>
                <xdr:col>4</xdr:col>
                <xdr:colOff>38100</xdr:colOff>
                <xdr:row>13</xdr:row>
                <xdr:rowOff>28575</xdr:rowOff>
              </from>
              <to>
                <xdr:col>4</xdr:col>
                <xdr:colOff>190500</xdr:colOff>
                <xdr:row>13</xdr:row>
                <xdr:rowOff>171450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autoPict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209550</xdr:colOff>
                <xdr:row>10</xdr:row>
                <xdr:rowOff>209550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autoPict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7</xdr:col>
                <xdr:colOff>1857375</xdr:colOff>
                <xdr:row>16</xdr:row>
                <xdr:rowOff>19050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zoomScaleNormal="100" workbookViewId="0">
      <selection activeCell="J12" sqref="J12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17" t="s">
        <v>679</v>
      </c>
      <c r="C1" s="1018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Certrel - REAJUSTE 2022</v>
      </c>
      <c r="C2" s="70"/>
      <c r="D2" s="70"/>
      <c r="E2" s="70"/>
      <c r="F2" s="70"/>
      <c r="G2" s="75"/>
      <c r="H2" s="376" t="s">
        <v>680</v>
      </c>
      <c r="I2" s="657">
        <v>44819.457835648151</v>
      </c>
      <c r="K2" s="692" t="s">
        <v>681</v>
      </c>
      <c r="L2" s="693"/>
    </row>
    <row r="3" spans="1:15" ht="16.5" customHeight="1">
      <c r="A3" s="137"/>
      <c r="B3" s="934" t="s">
        <v>682</v>
      </c>
      <c r="C3" s="784"/>
      <c r="D3" s="75"/>
      <c r="E3" s="75"/>
      <c r="F3" s="75"/>
      <c r="G3" s="75"/>
      <c r="H3" s="658" t="s">
        <v>683</v>
      </c>
      <c r="I3" s="658">
        <v>11</v>
      </c>
      <c r="K3" s="694" t="s">
        <v>684</v>
      </c>
      <c r="L3" s="655">
        <v>8.434010763464217E-2</v>
      </c>
    </row>
    <row r="4" spans="1:15" ht="16.5">
      <c r="A4" s="137"/>
      <c r="G4" s="75"/>
      <c r="J4" s="9"/>
      <c r="K4" s="694" t="s">
        <v>685</v>
      </c>
      <c r="L4" s="655">
        <v>8.8395169899283976E-2</v>
      </c>
    </row>
    <row r="5" spans="1:15" ht="16.5" customHeight="1">
      <c r="A5" s="137"/>
      <c r="B5" s="1019" t="s">
        <v>686</v>
      </c>
      <c r="C5" s="1020">
        <f ca="1">D39+D34</f>
        <v>29639496.445104681</v>
      </c>
      <c r="D5" s="142"/>
      <c r="E5" s="79"/>
      <c r="G5" s="75"/>
      <c r="H5" s="656"/>
      <c r="J5" s="270"/>
      <c r="K5" s="695" t="s">
        <v>687</v>
      </c>
      <c r="L5" s="663">
        <v>8.6014610421965454E-2</v>
      </c>
    </row>
    <row r="6" spans="1:15" ht="16.5" customHeight="1">
      <c r="A6" s="137"/>
      <c r="B6" s="76" t="s">
        <v>688</v>
      </c>
      <c r="C6" s="77">
        <f ca="1">Mercado_RA0_Reais</f>
        <v>27651255.470160004</v>
      </c>
      <c r="D6" s="77"/>
      <c r="E6" s="471"/>
      <c r="F6" s="75"/>
      <c r="G6" s="138"/>
      <c r="H6" s="81"/>
      <c r="J6" s="270"/>
      <c r="K6" s="696" t="s">
        <v>689</v>
      </c>
      <c r="L6" s="697">
        <v>782.31000000000006</v>
      </c>
      <c r="M6" s="79"/>
    </row>
    <row r="7" spans="1:15" ht="16.5" customHeight="1">
      <c r="A7" s="137"/>
      <c r="B7" s="1021" t="s">
        <v>2315</v>
      </c>
      <c r="C7" s="1022">
        <f ca="1">ROUND((C5/C6-1),4)</f>
        <v>7.1900000000000006E-2</v>
      </c>
      <c r="D7" s="488"/>
      <c r="E7" s="75"/>
      <c r="F7" s="75"/>
      <c r="G7" s="75"/>
      <c r="H7" s="81"/>
      <c r="K7" s="49" t="s">
        <v>690</v>
      </c>
      <c r="L7" s="1777">
        <f>L6/'Tabelas e Gráficos'!U39-1</f>
        <v>7.3083412205259268E-2</v>
      </c>
    </row>
    <row r="8" spans="1:15" ht="16.5" customHeight="1">
      <c r="A8" s="137"/>
      <c r="B8" s="78" t="s">
        <v>691</v>
      </c>
      <c r="C8" s="252">
        <f ca="1">ROUND(Financeiros!E7,4)</f>
        <v>-0.1027</v>
      </c>
      <c r="D8" s="489"/>
      <c r="E8" s="75"/>
      <c r="F8" s="486"/>
      <c r="G8" s="75"/>
      <c r="H8" s="81"/>
      <c r="K8" s="698" t="s">
        <v>692</v>
      </c>
      <c r="L8" s="699" t="s">
        <v>2036</v>
      </c>
      <c r="M8" s="659" t="s">
        <v>694</v>
      </c>
    </row>
    <row r="9" spans="1:15" ht="16.5" customHeight="1">
      <c r="A9" s="137"/>
      <c r="B9" s="1023" t="s">
        <v>2316</v>
      </c>
      <c r="C9" s="1024">
        <f ca="1">ROUND((C7+C8),5)</f>
        <v>-3.0800000000000001E-2</v>
      </c>
      <c r="D9" s="488"/>
      <c r="E9" s="488"/>
      <c r="F9" s="75"/>
      <c r="G9" s="75"/>
      <c r="K9" s="694" t="s">
        <v>695</v>
      </c>
      <c r="L9" s="700">
        <f>Aj.Subsídio!G28*12</f>
        <v>0</v>
      </c>
      <c r="M9" s="700">
        <v>0</v>
      </c>
    </row>
    <row r="10" spans="1:15" ht="16.5" customHeight="1">
      <c r="A10" s="137"/>
      <c r="B10" s="1023" t="s">
        <v>696</v>
      </c>
      <c r="C10" s="1024">
        <f ca="1">ROUND((LnkTXTEfeito-LnkTXTIRTTotal),4)</f>
        <v>0.1168</v>
      </c>
      <c r="D10" s="703">
        <f ca="1">LnKTxTRA1+Financeiros!D5</f>
        <v>26799327.459663447</v>
      </c>
      <c r="E10" s="75"/>
      <c r="F10" s="75"/>
      <c r="G10" s="75"/>
      <c r="K10" s="694" t="s">
        <v>697</v>
      </c>
      <c r="L10" s="700">
        <f>Aj.Subsídio!G29*12</f>
        <v>0</v>
      </c>
      <c r="M10" s="700">
        <v>0</v>
      </c>
    </row>
    <row r="11" spans="1:15" ht="16.5" customHeight="1">
      <c r="A11" s="137"/>
      <c r="B11" s="934" t="s">
        <v>698</v>
      </c>
      <c r="C11" s="784"/>
      <c r="D11" s="1025"/>
      <c r="E11" s="1025"/>
      <c r="F11" s="1025"/>
      <c r="G11" s="75"/>
      <c r="K11" s="694" t="s">
        <v>699</v>
      </c>
      <c r="L11" s="700">
        <f>Aj.Subsídio!G30*12</f>
        <v>0</v>
      </c>
      <c r="M11" s="700">
        <v>0</v>
      </c>
    </row>
    <row r="12" spans="1:15" ht="16.5" customHeight="1">
      <c r="E12" s="1026"/>
      <c r="F12" s="1026"/>
      <c r="K12" s="694" t="s">
        <v>700</v>
      </c>
      <c r="L12" s="700">
        <f>Aj.Subsídio!G31*12</f>
        <v>18824.52</v>
      </c>
      <c r="M12" s="700">
        <v>10703.517053421238</v>
      </c>
      <c r="O12" s="836"/>
    </row>
    <row r="13" spans="1:15" ht="15" customHeight="1">
      <c r="B13" s="1027"/>
      <c r="C13" s="1028" t="s">
        <v>693</v>
      </c>
      <c r="D13" s="1029" t="s">
        <v>694</v>
      </c>
      <c r="E13" s="1028" t="s">
        <v>701</v>
      </c>
      <c r="F13" s="1027" t="s">
        <v>702</v>
      </c>
      <c r="K13" s="694" t="s">
        <v>703</v>
      </c>
      <c r="L13" s="700">
        <f>Aj.Subsídio!G32*12</f>
        <v>294886.32</v>
      </c>
      <c r="M13" s="700">
        <v>158343.66796442235</v>
      </c>
      <c r="O13" s="836"/>
    </row>
    <row r="14" spans="1:15" ht="14.25">
      <c r="B14" s="1030" t="s">
        <v>704</v>
      </c>
      <c r="C14" s="1031">
        <f ca="1">SUM(C15:C23)</f>
        <v>2915195.5257980474</v>
      </c>
      <c r="D14" s="1032">
        <f ca="1">SUM(D15:D23)</f>
        <v>4236489.6192647424</v>
      </c>
      <c r="E14" s="1033">
        <f t="shared" ref="E14:E34" ca="1" si="0">(D14-C14)/LnkTXTRA0</f>
        <v>4.7784235145943967E-2</v>
      </c>
      <c r="F14" s="1034">
        <f ca="1">IF(ISERROR(D14/C14-1),"-",D14/C14-1)</f>
        <v>0.45324372988840422</v>
      </c>
      <c r="G14" s="287"/>
      <c r="H14" s="100"/>
      <c r="K14" s="694" t="s">
        <v>705</v>
      </c>
      <c r="L14" s="700">
        <f>Aj.Subsídio!G33*12</f>
        <v>0</v>
      </c>
      <c r="M14" s="700">
        <v>0</v>
      </c>
      <c r="O14" s="836"/>
    </row>
    <row r="15" spans="1:15" ht="14.25">
      <c r="B15" s="78" t="s">
        <v>706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4"/>
      <c r="M15" s="49"/>
    </row>
    <row r="16" spans="1:15" ht="14.25">
      <c r="B16" s="78" t="s">
        <v>707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4"/>
    </row>
    <row r="17" spans="2:14" ht="14.25">
      <c r="B17" s="78" t="s">
        <v>708</v>
      </c>
      <c r="C17" s="223">
        <f ca="1">Mercado_Faturado_Encargo_TFSEE_BRUTO</f>
        <v>56252.212149718573</v>
      </c>
      <c r="D17" s="131">
        <f ca="1">Encargos!C6</f>
        <v>60318.578824742086</v>
      </c>
      <c r="E17" s="221">
        <f t="shared" ca="1" si="0"/>
        <v>1.4705902520092639E-4</v>
      </c>
      <c r="F17" s="253">
        <f t="shared" ca="1" si="1"/>
        <v>7.2288120228954478E-2</v>
      </c>
      <c r="G17" s="287"/>
    </row>
    <row r="18" spans="2:14" ht="14.25">
      <c r="B18" s="78" t="s">
        <v>709</v>
      </c>
      <c r="C18" s="224">
        <f ca="1">Mercado_Faturado_Encargo_CDE_BRUTO+Calc_Mercado!S75</f>
        <v>2444593.6090302705</v>
      </c>
      <c r="D18" s="225">
        <f ca="1">Encargos!C7</f>
        <v>3547574.1107399999</v>
      </c>
      <c r="E18" s="222">
        <f t="shared" ca="1" si="0"/>
        <v>3.9888984530919998E-2</v>
      </c>
      <c r="F18" s="253">
        <f t="shared" ca="1" si="1"/>
        <v>0.45119176358612156</v>
      </c>
      <c r="G18" s="287"/>
      <c r="H18" s="140"/>
      <c r="K18" s="49" t="s">
        <v>710</v>
      </c>
      <c r="L18" s="701">
        <v>44819.467581018522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4" t="s">
        <v>711</v>
      </c>
      <c r="L19" s="694"/>
      <c r="M19" s="694"/>
      <c r="N19" s="290"/>
    </row>
    <row r="20" spans="2:14" ht="14.25">
      <c r="B20" s="78" t="s">
        <v>712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4" t="s">
        <v>713</v>
      </c>
      <c r="L20" s="702"/>
      <c r="M20" s="702"/>
    </row>
    <row r="21" spans="2:14" ht="14.25">
      <c r="B21" s="78" t="s">
        <v>47</v>
      </c>
      <c r="C21" s="223">
        <f ca="1">Mercado_Faturado_Encargo_PROINFA_BRUTO</f>
        <v>414349.70461805823</v>
      </c>
      <c r="D21" s="131">
        <f ca="1">Encargos!C10</f>
        <v>628596.9297000001</v>
      </c>
      <c r="E21" s="221">
        <f t="shared" ca="1" si="0"/>
        <v>7.7481915898230331E-3</v>
      </c>
      <c r="F21" s="253">
        <f t="shared" ca="1" si="1"/>
        <v>0.51706860821689737</v>
      </c>
      <c r="G21" s="287"/>
      <c r="L21" s="196"/>
    </row>
    <row r="22" spans="2:14" ht="14.25">
      <c r="B22" s="78" t="s">
        <v>714</v>
      </c>
      <c r="C22" s="223">
        <f ca="1">Mercado_Faturado_Encargo_PeD_BRUTO*0</f>
        <v>0</v>
      </c>
      <c r="D22" s="1740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5" t="s">
        <v>715</v>
      </c>
      <c r="C24" s="1031">
        <f ca="1">SUM(C25:C32)</f>
        <v>4795992.6437891256</v>
      </c>
      <c r="D24" s="1032">
        <f>SUM(D25:D32)</f>
        <v>4882651.6637400007</v>
      </c>
      <c r="E24" s="1033">
        <f t="shared" ca="1" si="0"/>
        <v>3.1339994686459577E-3</v>
      </c>
      <c r="F24" s="1034">
        <f t="shared" ca="1" si="1"/>
        <v>1.8069047721142706E-2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40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716</v>
      </c>
      <c r="C27" s="197"/>
      <c r="D27" s="1741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717</v>
      </c>
      <c r="C28" s="197"/>
      <c r="D28" s="1741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718</v>
      </c>
      <c r="C29" s="223"/>
      <c r="D29" s="1741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719</v>
      </c>
      <c r="C30" s="223"/>
      <c r="D30" s="1741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40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4795992.6437891256</v>
      </c>
      <c r="D32" s="1740">
        <f>CUSD!C3</f>
        <v>4882651.6637400007</v>
      </c>
      <c r="E32" s="221">
        <f t="shared" ca="1" si="2"/>
        <v>3.1339994686459577E-3</v>
      </c>
      <c r="F32" s="254">
        <f t="shared" ca="1" si="1"/>
        <v>1.8069047721142706E-2</v>
      </c>
      <c r="G32" s="287"/>
    </row>
    <row r="33" spans="2:8" ht="14.25">
      <c r="B33" s="1035" t="s">
        <v>108</v>
      </c>
      <c r="C33" s="1031">
        <f ca="1">SUM(Calc_Mercado!C79:C84)</f>
        <v>5845886.3369916435</v>
      </c>
      <c r="D33" s="1032">
        <f ca="1">Energia!F24</f>
        <v>6177301.1752223326</v>
      </c>
      <c r="E33" s="1033">
        <f t="shared" ca="1" si="0"/>
        <v>1.198552588645883E-2</v>
      </c>
      <c r="F33" s="1034">
        <f ca="1">IF(ISERROR(D33/C33-1),"-",D33/C33-1)</f>
        <v>5.6691974343318963E-2</v>
      </c>
      <c r="G33" s="287"/>
    </row>
    <row r="34" spans="2:8" ht="14.25">
      <c r="B34" s="1036" t="s">
        <v>720</v>
      </c>
      <c r="C34" s="1037">
        <f ca="1">C14+C24+C33</f>
        <v>13557074.506578816</v>
      </c>
      <c r="D34" s="1038">
        <f ca="1">D33+D24+D14</f>
        <v>15296442.458227076</v>
      </c>
      <c r="E34" s="1039">
        <f t="shared" ca="1" si="0"/>
        <v>6.2903760501048775E-2</v>
      </c>
      <c r="F34" s="1040">
        <f ca="1">IF(ISERROR(D34/C34-1),"-",D34/C34-1)</f>
        <v>0.12829965276094035</v>
      </c>
      <c r="G34" s="287"/>
    </row>
    <row r="35" spans="2:8" ht="14.25">
      <c r="G35" s="69"/>
      <c r="H35" s="107"/>
    </row>
    <row r="36" spans="2:8" ht="14.25">
      <c r="B36" s="934" t="s">
        <v>104</v>
      </c>
      <c r="C36" s="784"/>
      <c r="D36" s="784"/>
      <c r="E36" s="1025"/>
      <c r="F36" s="1025"/>
      <c r="G36" s="69"/>
    </row>
    <row r="37" spans="2:8" ht="8.25" customHeight="1">
      <c r="G37" s="69"/>
      <c r="H37" s="140"/>
    </row>
    <row r="38" spans="2:8" ht="15.75" customHeight="1">
      <c r="B38" s="660"/>
      <c r="C38" s="660" t="s">
        <v>693</v>
      </c>
      <c r="D38" s="660" t="s">
        <v>694</v>
      </c>
      <c r="E38" s="1041" t="s">
        <v>701</v>
      </c>
      <c r="F38" s="660" t="s">
        <v>702</v>
      </c>
      <c r="G38" s="69"/>
      <c r="H38" s="141"/>
    </row>
    <row r="39" spans="2:8" ht="15.75" customHeight="1">
      <c r="B39" s="1042" t="s">
        <v>721</v>
      </c>
      <c r="C39" s="1043">
        <f ca="1">LnkTXTRA0-C34</f>
        <v>14094180.963581188</v>
      </c>
      <c r="D39" s="1044">
        <f>IFERROR(SMALL(IF(LnkTXTPBReq=0,CAPA!K29,LnkTXTPBReq):LNKTXTLImPB,1),0)</f>
        <v>14343053.986877607</v>
      </c>
      <c r="E39" s="1045">
        <f ca="1">(D39-C39)/LnkTXTRA0</f>
        <v>9.0004239975646737E-3</v>
      </c>
      <c r="F39" s="1046">
        <f ca="1">IF(ISERROR(D39/C39-1),"-",D39/C39-1)</f>
        <v>1.765785638338957E-2</v>
      </c>
      <c r="G39" s="69"/>
      <c r="H39" s="140"/>
    </row>
    <row r="40" spans="2:8" ht="14.25">
      <c r="B40" s="704"/>
      <c r="C40" s="705"/>
      <c r="D40" s="706"/>
      <c r="E40" s="704"/>
      <c r="F40" s="704"/>
    </row>
    <row r="41" spans="2:8" ht="14.25">
      <c r="B41" s="934" t="s">
        <v>722</v>
      </c>
      <c r="C41" s="784"/>
      <c r="D41" s="784"/>
      <c r="E41" s="1025"/>
      <c r="F41" s="1025"/>
    </row>
    <row r="42" spans="2:8" ht="9" customHeight="1">
      <c r="E42" s="75"/>
      <c r="F42" s="75"/>
    </row>
    <row r="43" spans="2:8" ht="15.75" customHeight="1">
      <c r="B43" s="704"/>
      <c r="C43" s="1027" t="s">
        <v>723</v>
      </c>
      <c r="D43" s="1027" t="s">
        <v>701</v>
      </c>
      <c r="E43" s="461" t="s">
        <v>724</v>
      </c>
      <c r="F43" s="461"/>
      <c r="G43" s="461"/>
    </row>
    <row r="44" spans="2:8" ht="15.75" hidden="1" customHeight="1">
      <c r="B44" s="1047" t="s">
        <v>725</v>
      </c>
      <c r="C44" s="1048">
        <f ca="1">SUM(C45:C85)</f>
        <v>-2840168.9854412354</v>
      </c>
      <c r="D44" s="1749">
        <f ca="1">C44/Financeiros!D4</f>
        <v>-0.10271392517805271</v>
      </c>
      <c r="E44" s="461">
        <f t="shared" ref="E44:E101" ca="1" si="3">IF(D44=0,0,1)</f>
        <v>1</v>
      </c>
      <c r="F44" s="461"/>
      <c r="G44" s="461"/>
    </row>
    <row r="45" spans="2:8" ht="15.75" hidden="1" customHeight="1">
      <c r="B45" s="82" t="str">
        <f>'Tabelas e Gráficos'!AM167</f>
        <v>Repasse de PIS COFINS</v>
      </c>
      <c r="C45" s="447">
        <f ca="1">'Tabelas e Gráficos'!AN167</f>
        <v>344859.5195844142</v>
      </c>
      <c r="D45" s="466">
        <f ca="1">C45/Financeiros!$D$4</f>
        <v>1.2471749066025994E-2</v>
      </c>
      <c r="E45" s="461">
        <f t="shared" ca="1" si="3"/>
        <v>1</v>
      </c>
      <c r="F45" s="461"/>
      <c r="G45" s="461"/>
    </row>
    <row r="46" spans="2:8" ht="15.75" hidden="1" customHeight="1">
      <c r="B46" s="82" t="str">
        <f>'Tabelas e Gráficos'!AM168</f>
        <v>Neutralidade Encargos Setoriais</v>
      </c>
      <c r="C46" s="447">
        <f ca="1">'Tabelas e Gráficos'!AN168</f>
        <v>-35573.907815025726</v>
      </c>
      <c r="D46" s="466">
        <f ca="1">C46/Financeiros!$D$4</f>
        <v>-1.2865205290014949E-3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0</v>
      </c>
      <c r="D55" s="466">
        <f ca="1">C55/Financeiros!$D$4</f>
        <v>0</v>
      </c>
      <c r="E55" s="461">
        <f t="shared" ca="1" si="3"/>
        <v>0</v>
      </c>
    </row>
    <row r="56" spans="2:7" ht="15.75" hidden="1" customHeight="1">
      <c r="B56" s="82" t="str">
        <f>'Tabelas e Gráficos'!AM178</f>
        <v>Subvenção CDE</v>
      </c>
      <c r="C56" s="447">
        <f ca="1">'Tabelas e Gráficos'!AN178</f>
        <v>-2548674.1739379396</v>
      </c>
      <c r="D56" s="466">
        <f ca="1">C56/Financeiros!$D$4</f>
        <v>-9.21720960080223E-2</v>
      </c>
      <c r="E56" s="461">
        <f t="shared" ca="1" si="3"/>
        <v>1</v>
      </c>
    </row>
    <row r="57" spans="2:7" ht="15.75" hidden="1" customHeight="1">
      <c r="B57" s="82" t="str">
        <f>'Tabelas e Gráficos'!AM179</f>
        <v>Retenção de Adicionais de Bandeiras Tarifárias</v>
      </c>
      <c r="C57" s="447">
        <f>'Tabelas e Gráficos'!AN179</f>
        <v>-255991.95877886674</v>
      </c>
      <c r="D57" s="466">
        <f ca="1">C57/Financeiros!$D$4</f>
        <v>-9.2578783287117581E-3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PIS COFINS</v>
      </c>
      <c r="C66" s="447">
        <f ca="1">'Tabelas e Gráficos'!AN188</f>
        <v>-344859.5195844142</v>
      </c>
      <c r="D66" s="466">
        <f ca="1">C66/Financeiros!$D$4</f>
        <v>-1.2471749066025994E-2</v>
      </c>
      <c r="E66" s="461">
        <f t="shared" ca="1" si="3"/>
        <v>1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 xml:space="preserve">Diferimento de Energia 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 xml:space="preserve">Reversão do Diferimento de Pis Cofins </v>
      </c>
      <c r="C73" s="447">
        <f>'Tabelas e Gráficos'!AN195</f>
        <v>402071.05509059655</v>
      </c>
      <c r="D73" s="466">
        <f ca="1">C73/Financeiros!$D$4</f>
        <v>1.4540788411017851E-2</v>
      </c>
      <c r="E73" s="461">
        <f t="shared" ca="1" si="3"/>
        <v>1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 t="str">
        <f>'Tabelas e Gráficos'!AM205</f>
        <v>Diferimento da Previsão da Risco Hidrológico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 t="str">
        <f>'Tabelas e Gráficos'!AM206</f>
        <v>Diferimento CUSD</v>
      </c>
      <c r="C84" s="447">
        <f>'Tabelas e Gráficos'!AN206</f>
        <v>-402000</v>
      </c>
      <c r="D84" s="466">
        <f ca="1">C84/Financeiros!$D$4</f>
        <v>-1.4538218723335017E-2</v>
      </c>
      <c r="E84" s="461">
        <f t="shared" ca="1" si="3"/>
        <v>1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46"/>
      <c r="C86" s="1747"/>
      <c r="D86" s="1748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4"/>
      <c r="B102" s="1746"/>
      <c r="C102" s="1747"/>
      <c r="D102" s="1748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5</xdr:col>
                <xdr:colOff>266700</xdr:colOff>
                <xdr:row>0</xdr:row>
                <xdr:rowOff>200025</xdr:rowOff>
              </from>
              <to>
                <xdr:col>6</xdr:col>
                <xdr:colOff>619125</xdr:colOff>
                <xdr:row>2</xdr:row>
                <xdr:rowOff>57150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="90" zoomScaleNormal="90" workbookViewId="0">
      <selection activeCell="C41" sqref="C41"/>
    </sheetView>
  </sheetViews>
  <sheetFormatPr defaultColWidth="9.140625" defaultRowHeight="12.75" customHeight="1"/>
  <cols>
    <col min="1" max="1" width="4.7109375" style="94" customWidth="1"/>
    <col min="2" max="2" width="18.140625" style="94" bestFit="1" customWidth="1"/>
    <col min="3" max="3" width="16.28515625" style="94" bestFit="1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0" t="s">
        <v>870</v>
      </c>
      <c r="C1" s="1018"/>
      <c r="D1" s="931"/>
      <c r="E1" s="931"/>
      <c r="F1" s="931"/>
      <c r="G1" s="1128" t="s">
        <v>871</v>
      </c>
      <c r="H1" s="1129">
        <f ca="1">LnkTXTIRTEco</f>
        <v>7.1900000000000006E-2</v>
      </c>
      <c r="I1" s="70"/>
      <c r="J1" s="70"/>
      <c r="P1" s="1130" t="s">
        <v>872</v>
      </c>
      <c r="Q1" s="1131"/>
      <c r="S1" s="1132" t="s">
        <v>873</v>
      </c>
      <c r="T1" s="1131" t="s">
        <v>874</v>
      </c>
      <c r="W1" s="1130" t="s">
        <v>873</v>
      </c>
      <c r="X1" s="1131" t="s">
        <v>874</v>
      </c>
    </row>
    <row r="2" spans="2:24" ht="14.25">
      <c r="B2" s="136" t="str">
        <f>CAPA!C9</f>
        <v>Certrel</v>
      </c>
      <c r="C2" s="70"/>
      <c r="D2" s="70"/>
      <c r="G2" s="120" t="s">
        <v>875</v>
      </c>
      <c r="H2" s="121">
        <f ca="1">LnkTXTIRTTotal</f>
        <v>-3.0800000000000001E-2</v>
      </c>
      <c r="P2" s="1133">
        <f>DATE(YEAR(P4),MONTH(P4)-1,1)</f>
        <v>44440</v>
      </c>
      <c r="Q2" s="662"/>
      <c r="S2" s="661" t="s">
        <v>876</v>
      </c>
      <c r="T2" s="662" t="s">
        <v>877</v>
      </c>
      <c r="W2" s="661" t="s">
        <v>878</v>
      </c>
      <c r="X2" s="662" t="s">
        <v>877</v>
      </c>
    </row>
    <row r="3" spans="2:24" ht="14.25">
      <c r="P3" s="1130" t="s">
        <v>872</v>
      </c>
      <c r="Q3" s="1131"/>
      <c r="S3" s="1132" t="s">
        <v>873</v>
      </c>
      <c r="T3" s="1131" t="s">
        <v>874</v>
      </c>
      <c r="W3" s="1130" t="s">
        <v>873</v>
      </c>
      <c r="X3" s="1131" t="s">
        <v>874</v>
      </c>
    </row>
    <row r="4" spans="2:24" ht="14.25">
      <c r="P4" s="1133">
        <f>DATE(YEAR(P6),MONTH(P6)-1,1)</f>
        <v>44470</v>
      </c>
      <c r="Q4" s="662"/>
      <c r="S4" s="661" t="s">
        <v>538</v>
      </c>
      <c r="T4" s="662" t="s">
        <v>877</v>
      </c>
      <c r="W4" s="661" t="s">
        <v>878</v>
      </c>
      <c r="X4" s="662" t="s">
        <v>877</v>
      </c>
    </row>
    <row r="5" spans="2:24" ht="14.25">
      <c r="P5" s="1130" t="s">
        <v>872</v>
      </c>
      <c r="Q5" s="1131"/>
      <c r="S5" s="1130" t="s">
        <v>873</v>
      </c>
      <c r="T5" s="1131" t="s">
        <v>874</v>
      </c>
      <c r="V5" s="95"/>
      <c r="W5" s="1130" t="s">
        <v>873</v>
      </c>
      <c r="X5" s="1131" t="s">
        <v>874</v>
      </c>
    </row>
    <row r="6" spans="2:24" ht="14.25">
      <c r="B6" s="111" t="s">
        <v>879</v>
      </c>
      <c r="F6" s="111" t="s">
        <v>880</v>
      </c>
      <c r="I6" s="111" t="s">
        <v>881</v>
      </c>
      <c r="P6" s="1133">
        <f>DATE(YEAR(P8),MONTH(P8)-1,1)</f>
        <v>44501</v>
      </c>
      <c r="Q6" s="662"/>
      <c r="S6" s="661" t="str">
        <f>"=A3"</f>
        <v>=A3</v>
      </c>
      <c r="T6" s="662" t="s">
        <v>877</v>
      </c>
      <c r="W6" s="661" t="s">
        <v>878</v>
      </c>
      <c r="X6" s="662" t="s">
        <v>877</v>
      </c>
    </row>
    <row r="7" spans="2:24" ht="14.25">
      <c r="B7" s="1134" t="s">
        <v>776</v>
      </c>
      <c r="C7" s="1134" t="s">
        <v>108</v>
      </c>
      <c r="D7" s="1134" t="s">
        <v>882</v>
      </c>
      <c r="E7" s="96"/>
      <c r="F7" s="1134" t="s">
        <v>776</v>
      </c>
      <c r="G7" s="1134" t="s">
        <v>882</v>
      </c>
      <c r="I7" s="1135" t="s">
        <v>776</v>
      </c>
      <c r="J7" s="1135" t="s">
        <v>883</v>
      </c>
      <c r="L7" s="416" t="s">
        <v>884</v>
      </c>
      <c r="M7" s="416"/>
      <c r="N7" s="416" t="s">
        <v>723</v>
      </c>
      <c r="P7" s="1130" t="s">
        <v>872</v>
      </c>
      <c r="Q7" s="1131"/>
      <c r="S7" s="1130" t="s">
        <v>873</v>
      </c>
      <c r="T7" s="1131" t="s">
        <v>874</v>
      </c>
      <c r="W7" s="1130" t="s">
        <v>873</v>
      </c>
      <c r="X7" s="1131" t="s">
        <v>874</v>
      </c>
    </row>
    <row r="8" spans="2:24" ht="14.25">
      <c r="B8" s="1136" t="s">
        <v>885</v>
      </c>
      <c r="C8" s="1137">
        <f ca="1">SUM(C9:C15)</f>
        <v>44819.61</v>
      </c>
      <c r="D8" s="1138">
        <f ca="1">SUM(D9:D15)</f>
        <v>27651255.470160004</v>
      </c>
      <c r="E8" s="96"/>
      <c r="F8" s="96" t="s">
        <v>886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0.24450729708640606</v>
      </c>
      <c r="L8" s="1139" t="s">
        <v>887</v>
      </c>
      <c r="M8" s="1140"/>
      <c r="N8" s="1141">
        <f>DSUM('BD MERCADO'!A2:AAA999998,"Total",S27:S28)</f>
        <v>5732497.1095999992</v>
      </c>
      <c r="P8" s="1133">
        <f>DATE(YEAR(P10),MONTH(P10)-1,1)</f>
        <v>44531</v>
      </c>
      <c r="Q8" s="662"/>
      <c r="S8" s="661" t="str">
        <f>"=A3a"</f>
        <v>=A3a</v>
      </c>
      <c r="T8" s="662" t="s">
        <v>877</v>
      </c>
      <c r="W8" s="661" t="s">
        <v>878</v>
      </c>
      <c r="X8" s="662" t="s">
        <v>877</v>
      </c>
    </row>
    <row r="9" spans="2:24" ht="14.25">
      <c r="B9" s="112" t="s">
        <v>876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2" t="s">
        <v>753</v>
      </c>
      <c r="J9" s="1143">
        <f ca="1">SUM(INDIRECT("dados_MercadoBase[[PisPasep]:[Cofins]]"))/SUM(INDIRECT("dados_MercadoBase[[PisPasep]:[ICMS]]"),INDIRECT("dados_MercadoBase[FinTotAj]"))</f>
        <v>0</v>
      </c>
      <c r="L9" s="96" t="s">
        <v>888</v>
      </c>
      <c r="M9" s="415"/>
      <c r="N9" s="115">
        <f>DSUM('BD MERCADO'!A2:AAA999998,"Total",S29:S30)</f>
        <v>17022845.717960015</v>
      </c>
      <c r="P9" s="1130" t="s">
        <v>872</v>
      </c>
      <c r="Q9" s="1131"/>
      <c r="S9" s="1130" t="s">
        <v>873</v>
      </c>
      <c r="T9" s="1131" t="s">
        <v>874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889</v>
      </c>
      <c r="G10" s="115">
        <f t="shared" ca="1" si="0"/>
        <v>0</v>
      </c>
      <c r="L10" s="96" t="s">
        <v>890</v>
      </c>
      <c r="M10" s="415"/>
      <c r="N10" s="115">
        <f>DSUM('BD MERCADO'!A2:AAA999998,"Total",S31:S32)</f>
        <v>989759.14020000014</v>
      </c>
      <c r="P10" s="1133">
        <f>DATE(YEAR(P12),MONTH(P12)-1,1)</f>
        <v>44562</v>
      </c>
      <c r="Q10" s="662"/>
      <c r="S10" s="661" t="s">
        <v>533</v>
      </c>
      <c r="T10" s="662" t="s">
        <v>877</v>
      </c>
      <c r="U10" s="94" t="s">
        <v>891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414349.70461805811</v>
      </c>
      <c r="L11" s="96" t="s">
        <v>892</v>
      </c>
      <c r="M11" s="415"/>
      <c r="N11" s="115">
        <f>DSUM('BD MERCADO'!A2:AAA999998,"Total",S33:S34)</f>
        <v>2794243.0813699989</v>
      </c>
      <c r="P11" s="1130" t="s">
        <v>872</v>
      </c>
      <c r="Q11" s="1131"/>
      <c r="S11" s="1130" t="s">
        <v>873</v>
      </c>
      <c r="T11" s="1131" t="s">
        <v>874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2444593.60903027</v>
      </c>
      <c r="I12" s="111" t="s">
        <v>893</v>
      </c>
      <c r="L12" s="96" t="s">
        <v>894</v>
      </c>
      <c r="M12" s="415"/>
      <c r="N12" s="115">
        <f>DSUM('BD MERCADO'!A2:AAA999998,"Total",S35:S36)</f>
        <v>459797.55303999985</v>
      </c>
      <c r="P12" s="1133">
        <f>DATE(YEAR(P14),MONTH(P14)-1,1)</f>
        <v>44593</v>
      </c>
      <c r="Q12" s="662"/>
      <c r="S12" s="661" t="s">
        <v>895</v>
      </c>
      <c r="T12" s="662" t="s">
        <v>877</v>
      </c>
      <c r="X12" s="97"/>
    </row>
    <row r="13" spans="2:24" ht="14.25">
      <c r="B13" s="112" t="s">
        <v>533</v>
      </c>
      <c r="C13" s="98">
        <f t="shared" ca="1" si="2"/>
        <v>29902.844000000001</v>
      </c>
      <c r="D13" s="113">
        <f t="shared" ca="1" si="1"/>
        <v>15783870.772030007</v>
      </c>
      <c r="E13" s="96"/>
      <c r="F13" s="96" t="s">
        <v>40</v>
      </c>
      <c r="G13" s="115">
        <f t="shared" ca="1" si="0"/>
        <v>56252.212149718631</v>
      </c>
      <c r="I13" s="1135" t="s">
        <v>776</v>
      </c>
      <c r="J13" s="1135" t="s">
        <v>896</v>
      </c>
      <c r="L13" s="96" t="s">
        <v>897</v>
      </c>
      <c r="M13" s="415"/>
      <c r="N13" s="115">
        <f>DSUM('BD MERCADO'!A2:AAA999998,"Total",S37:S38)</f>
        <v>278168.61780000001</v>
      </c>
      <c r="P13" s="1130" t="s">
        <v>872</v>
      </c>
      <c r="Q13" s="1131"/>
      <c r="S13" s="1130" t="s">
        <v>873</v>
      </c>
      <c r="T13" s="1131" t="s">
        <v>874</v>
      </c>
      <c r="X13" s="97"/>
    </row>
    <row r="14" spans="2:24" ht="14.25">
      <c r="B14" s="112" t="s">
        <v>898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4" t="s">
        <v>899</v>
      </c>
      <c r="J14" s="1145">
        <f>CAPA!D41</f>
        <v>44152.002</v>
      </c>
      <c r="L14" s="96" t="s">
        <v>900</v>
      </c>
      <c r="M14" s="415"/>
      <c r="N14" s="115">
        <f>DSUM('BD MERCADO'!A2:AAA999998,"Total",S39:S40)</f>
        <v>370838.4896899999</v>
      </c>
      <c r="P14" s="1133">
        <f>DATE(YEAR(P16),MONTH(P16)-1,1)</f>
        <v>44621</v>
      </c>
      <c r="Q14" s="662"/>
      <c r="S14" s="661" t="s">
        <v>878</v>
      </c>
      <c r="T14" s="662" t="s">
        <v>877</v>
      </c>
      <c r="X14" s="97"/>
    </row>
    <row r="15" spans="2:24" ht="14.25">
      <c r="B15" s="112" t="s">
        <v>540</v>
      </c>
      <c r="C15" s="98">
        <f t="shared" ca="1" si="2"/>
        <v>14916.766000000001</v>
      </c>
      <c r="D15" s="113">
        <f t="shared" ca="1" si="1"/>
        <v>11867384.698129997</v>
      </c>
      <c r="E15" s="96"/>
      <c r="F15" s="96" t="s">
        <v>108</v>
      </c>
      <c r="G15" s="115">
        <f ca="1">SUM(C79:C84)</f>
        <v>5845886.3369916435</v>
      </c>
      <c r="I15" s="1146" t="s">
        <v>829</v>
      </c>
      <c r="J15" s="1147">
        <f ca="1">IFERROR(Mercado_RA0_MWh/J14-1,0)</f>
        <v>1.5120673350214053E-2</v>
      </c>
      <c r="L15" s="1148" t="s">
        <v>901</v>
      </c>
      <c r="M15" s="1149"/>
      <c r="N15" s="1150">
        <f ca="1">D25-SUM(N8:N14)</f>
        <v>3105.7604999877512</v>
      </c>
      <c r="P15" s="1130" t="s">
        <v>872</v>
      </c>
      <c r="Q15" s="1131"/>
      <c r="S15" s="1130" t="s">
        <v>902</v>
      </c>
      <c r="T15" s="1131" t="s">
        <v>874</v>
      </c>
      <c r="X15" s="97"/>
    </row>
    <row r="16" spans="2:24" ht="14.25">
      <c r="B16" s="1136" t="s">
        <v>903</v>
      </c>
      <c r="C16" s="1151">
        <f ca="1">DSUM(MercadoBase,"TUSD_E",INDIRECT("Mercado_CriterioResBr"))</f>
        <v>332.9199999999999</v>
      </c>
      <c r="D16" s="1152">
        <f ca="1">DSUM(MercadoBase,"Total",INDIRECT("Mercado_CriterioResBr"))</f>
        <v>251953.856</v>
      </c>
      <c r="E16" s="96"/>
      <c r="F16" s="96" t="s">
        <v>904</v>
      </c>
      <c r="G16" s="115">
        <f ca="1">SUM(C87:C97)</f>
        <v>18889989.091123767</v>
      </c>
      <c r="P16" s="1133">
        <f>DATE(YEAR(P18),MONTH(P18)-1,1)</f>
        <v>44652</v>
      </c>
      <c r="Q16" s="662"/>
      <c r="S16" s="661" t="s">
        <v>905</v>
      </c>
      <c r="T16" s="662" t="s">
        <v>877</v>
      </c>
      <c r="X16" s="97"/>
    </row>
    <row r="17" spans="2:24" ht="14.25">
      <c r="B17" s="1136" t="s">
        <v>906</v>
      </c>
      <c r="C17" s="1151">
        <f ca="1">DSUM(MercadoBase,"TUSD_E",INDIRECT("Mercado_Criterio"&amp;$B17))</f>
        <v>0</v>
      </c>
      <c r="D17" s="1152">
        <f ca="1">DSUM(MercadoBase,"Total",INDIRECT("Mercado_Criterio"&amp;$B17))</f>
        <v>0</v>
      </c>
      <c r="E17" s="96"/>
      <c r="F17" s="1153" t="s">
        <v>758</v>
      </c>
      <c r="G17" s="1154">
        <f ca="1">SUM(G8:G16)</f>
        <v>27651070.953913458</v>
      </c>
      <c r="I17" s="226" t="str">
        <f>"Dado referente à "&amp;TEXT(P20,"mmmm/aaaa")</f>
        <v>Dado referente à junho/2022</v>
      </c>
      <c r="L17" s="79"/>
      <c r="P17" s="1130" t="s">
        <v>872</v>
      </c>
      <c r="Q17" s="1131"/>
      <c r="S17" s="1130" t="s">
        <v>874</v>
      </c>
      <c r="T17" s="1131"/>
      <c r="X17" s="97"/>
    </row>
    <row r="18" spans="2:24" ht="14.25">
      <c r="B18" s="1136" t="s">
        <v>907</v>
      </c>
      <c r="C18" s="1151">
        <f ca="1">DSUM(MercadoBase,"TUSD_E",INDIRECT("Mercado_Criterio"&amp;$B18))</f>
        <v>0</v>
      </c>
      <c r="D18" s="1152">
        <f ca="1">DSUM(MercadoBase,"Total",INDIRECT("Mercado_Criterio"&amp;$B18))</f>
        <v>0</v>
      </c>
      <c r="E18" s="96"/>
      <c r="I18" s="1155" t="s">
        <v>908</v>
      </c>
      <c r="J18" s="1156">
        <f>DSUM('BD MERCADO'!B2:BU724,"UC",C101:C102)</f>
        <v>4523</v>
      </c>
      <c r="L18" s="79"/>
      <c r="P18" s="1133">
        <f>DATE(YEAR(P20),MONTH(P20)-1,1)</f>
        <v>44682</v>
      </c>
      <c r="Q18" s="662"/>
      <c r="S18" s="661" t="s">
        <v>788</v>
      </c>
      <c r="T18" s="662"/>
      <c r="X18" s="97"/>
    </row>
    <row r="19" spans="2:24" ht="14.25">
      <c r="B19" s="114" t="s">
        <v>909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0" t="s">
        <v>872</v>
      </c>
      <c r="Q19" s="1131"/>
      <c r="S19" s="1130" t="s">
        <v>874</v>
      </c>
      <c r="T19" s="1131" t="s">
        <v>873</v>
      </c>
      <c r="X19" s="97"/>
    </row>
    <row r="20" spans="2:24" ht="14.25">
      <c r="B20" s="114" t="s">
        <v>910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3">
        <f>DATE(YEAR(P22),MONTH(P22)-1,1)</f>
        <v>44713</v>
      </c>
      <c r="Q20" s="662"/>
      <c r="S20" s="661" t="s">
        <v>907</v>
      </c>
      <c r="T20" s="662" t="s">
        <v>876</v>
      </c>
    </row>
    <row r="21" spans="2:24" ht="14.25">
      <c r="B21" s="114" t="s">
        <v>911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30" t="s">
        <v>872</v>
      </c>
      <c r="Q21" s="1131"/>
      <c r="S21" s="1130" t="s">
        <v>874</v>
      </c>
      <c r="T21" s="1131"/>
    </row>
    <row r="22" spans="2:24" ht="14.25">
      <c r="B22" s="114" t="s">
        <v>912</v>
      </c>
      <c r="C22" s="98">
        <f ca="1">C18-C19</f>
        <v>0</v>
      </c>
      <c r="D22" s="113">
        <f ca="1">D18-D19</f>
        <v>0</v>
      </c>
      <c r="F22" s="617"/>
      <c r="G22" s="618"/>
      <c r="L22" s="79"/>
      <c r="M22" s="100"/>
      <c r="N22" s="97"/>
      <c r="O22" s="97"/>
      <c r="P22" s="1133">
        <f>DATE(YEAR(P24),MONTH(P24)-1,1)</f>
        <v>44743</v>
      </c>
      <c r="Q22" s="662"/>
      <c r="S22" s="661" t="s">
        <v>750</v>
      </c>
      <c r="T22" s="662"/>
      <c r="X22" s="97"/>
    </row>
    <row r="23" spans="2:24" ht="14.25">
      <c r="B23" s="1136" t="s">
        <v>913</v>
      </c>
      <c r="C23" s="1151">
        <v>0</v>
      </c>
      <c r="D23" s="1152">
        <v>0</v>
      </c>
      <c r="E23" s="615"/>
      <c r="F23" s="617"/>
      <c r="G23" s="618"/>
      <c r="L23" s="79"/>
      <c r="M23" s="100"/>
      <c r="N23" s="97"/>
      <c r="O23" s="97"/>
      <c r="P23" s="1130" t="s">
        <v>872</v>
      </c>
      <c r="Q23" s="1131"/>
      <c r="S23" s="1130" t="s">
        <v>874</v>
      </c>
      <c r="T23" s="1131"/>
      <c r="X23" s="97"/>
    </row>
    <row r="24" spans="2:24" ht="14.25">
      <c r="B24" s="1136" t="s">
        <v>914</v>
      </c>
      <c r="C24" s="1157"/>
      <c r="D24" s="1158"/>
      <c r="E24" s="615"/>
      <c r="F24" s="617"/>
      <c r="G24" s="618"/>
      <c r="L24" s="79"/>
      <c r="P24" s="1133">
        <f>SAS_RA0_DataFim</f>
        <v>44774</v>
      </c>
      <c r="Q24" s="662"/>
      <c r="S24" s="661" t="s">
        <v>911</v>
      </c>
      <c r="T24" s="662"/>
      <c r="X24" s="97"/>
    </row>
    <row r="25" spans="2:24" ht="14.25">
      <c r="B25" s="1159" t="s">
        <v>758</v>
      </c>
      <c r="C25" s="1160">
        <f ca="1">C18+C8+C24+C20+C21+SuprimentoE</f>
        <v>44819.61</v>
      </c>
      <c r="D25" s="1161">
        <f ca="1">D18+D8+D24+D20+D21+D17</f>
        <v>27651255.470160004</v>
      </c>
      <c r="E25" s="615"/>
      <c r="N25" s="69">
        <f>SUMIFS('BD MERCADO'!$P$3:$P$6000,'BD MERCADO'!$D$3:$D$6000,"A4",'BD MERCADO'!$I$3:$I$6000,U10)</f>
        <v>1248.6389999999997</v>
      </c>
      <c r="S25" s="101" t="s">
        <v>874</v>
      </c>
      <c r="T25" s="102"/>
      <c r="X25" s="97"/>
    </row>
    <row r="26" spans="2:24" ht="14.25">
      <c r="F26" s="617"/>
      <c r="G26" s="618"/>
      <c r="S26" s="661" t="s">
        <v>915</v>
      </c>
      <c r="T26" s="662"/>
      <c r="X26" s="97"/>
    </row>
    <row r="27" spans="2:24" ht="14.25">
      <c r="F27" s="617"/>
      <c r="G27" s="618"/>
      <c r="I27" s="97"/>
      <c r="S27" s="1162" t="s">
        <v>524</v>
      </c>
      <c r="T27" s="1163"/>
      <c r="X27" s="97"/>
    </row>
    <row r="28" spans="2:24" ht="14.25">
      <c r="F28" s="226"/>
      <c r="G28" s="619"/>
      <c r="I28" s="97"/>
      <c r="S28" s="1164" t="s">
        <v>887</v>
      </c>
      <c r="T28" s="1165"/>
      <c r="X28" s="97"/>
    </row>
    <row r="29" spans="2:24" ht="14.25">
      <c r="I29" s="97"/>
      <c r="S29" s="1162" t="s">
        <v>524</v>
      </c>
      <c r="T29" s="1163"/>
    </row>
    <row r="30" spans="2:24" ht="14.25">
      <c r="I30" s="97"/>
      <c r="S30" s="1164" t="s">
        <v>888</v>
      </c>
      <c r="T30" s="1165"/>
    </row>
    <row r="31" spans="2:24" ht="16.5">
      <c r="B31"/>
      <c r="C31"/>
      <c r="H31" s="97"/>
      <c r="I31" s="97"/>
      <c r="S31" s="1162" t="s">
        <v>524</v>
      </c>
      <c r="T31" s="1163"/>
      <c r="X31" s="97"/>
    </row>
    <row r="32" spans="2:24" ht="14.25">
      <c r="H32" s="97"/>
      <c r="I32" s="97"/>
      <c r="S32" s="1164" t="s">
        <v>916</v>
      </c>
      <c r="T32" s="1165"/>
      <c r="X32" s="97"/>
    </row>
    <row r="33" spans="2:24" ht="16.5">
      <c r="B33" s="1769" t="s">
        <v>917</v>
      </c>
      <c r="C33" s="1770" t="s">
        <v>918</v>
      </c>
      <c r="D33"/>
      <c r="S33" s="1162" t="s">
        <v>524</v>
      </c>
      <c r="T33" s="1163"/>
      <c r="X33" s="97"/>
    </row>
    <row r="34" spans="2:24" ht="16.5">
      <c r="B34" s="1771">
        <v>44440</v>
      </c>
      <c r="C34" s="1772">
        <v>3727.5729999999999</v>
      </c>
      <c r="D34"/>
      <c r="S34" s="1164" t="s">
        <v>892</v>
      </c>
      <c r="T34" s="1165"/>
      <c r="X34" s="97"/>
    </row>
    <row r="35" spans="2:24" ht="16.5">
      <c r="B35" s="1771">
        <v>44470</v>
      </c>
      <c r="C35" s="1772">
        <v>3790.1859999999992</v>
      </c>
      <c r="D35"/>
      <c r="S35" s="1162" t="s">
        <v>524</v>
      </c>
      <c r="T35" s="1163"/>
    </row>
    <row r="36" spans="2:24" ht="16.5">
      <c r="B36" s="1771">
        <v>44501</v>
      </c>
      <c r="C36" s="1772">
        <v>3734.6080000000002</v>
      </c>
      <c r="D36"/>
      <c r="M36" s="97"/>
      <c r="S36" s="1164" t="s">
        <v>894</v>
      </c>
      <c r="T36" s="1165"/>
    </row>
    <row r="37" spans="2:24" ht="16.5">
      <c r="B37" s="1771">
        <v>44531</v>
      </c>
      <c r="C37" s="1772">
        <v>3413.5770000000002</v>
      </c>
      <c r="D37"/>
      <c r="M37" s="97"/>
      <c r="S37" s="1162" t="s">
        <v>524</v>
      </c>
      <c r="T37" s="1163"/>
    </row>
    <row r="38" spans="2:24" ht="16.5">
      <c r="B38" s="1771">
        <v>44562</v>
      </c>
      <c r="C38" s="1772">
        <v>3640.5160000000005</v>
      </c>
      <c r="D38"/>
      <c r="M38" s="97"/>
      <c r="S38" s="1164" t="s">
        <v>897</v>
      </c>
      <c r="T38" s="1165"/>
    </row>
    <row r="39" spans="2:24" ht="16.5">
      <c r="B39" s="1771">
        <v>44593</v>
      </c>
      <c r="C39" s="1772">
        <v>3737.6970000000001</v>
      </c>
      <c r="D39"/>
      <c r="S39" s="1162" t="s">
        <v>524</v>
      </c>
      <c r="T39" s="1163"/>
    </row>
    <row r="40" spans="2:24" ht="16.5">
      <c r="B40" s="1771">
        <v>44621</v>
      </c>
      <c r="C40" s="1772">
        <v>4136.8020000000006</v>
      </c>
      <c r="D40"/>
      <c r="S40" s="1164" t="s">
        <v>919</v>
      </c>
      <c r="T40" s="1165"/>
    </row>
    <row r="41" spans="2:24" ht="16.5">
      <c r="B41" s="1771">
        <v>44652</v>
      </c>
      <c r="C41" s="1772">
        <v>3669.3120000000004</v>
      </c>
      <c r="D41"/>
      <c r="N41" s="97"/>
      <c r="O41" s="97"/>
      <c r="P41" s="97"/>
      <c r="Q41" s="97"/>
      <c r="R41" s="97"/>
      <c r="S41" s="1162" t="s">
        <v>524</v>
      </c>
      <c r="T41" s="1163"/>
    </row>
    <row r="42" spans="2:24" ht="16.5">
      <c r="B42" s="1771">
        <v>44682</v>
      </c>
      <c r="C42" s="1772">
        <v>3772.3970000000004</v>
      </c>
      <c r="D42"/>
      <c r="N42" s="97"/>
      <c r="O42" s="97"/>
      <c r="P42" s="97"/>
      <c r="Q42" s="97"/>
      <c r="R42" s="97"/>
      <c r="S42" s="1164" t="s">
        <v>920</v>
      </c>
      <c r="T42" s="1165"/>
    </row>
    <row r="43" spans="2:24" ht="16.5">
      <c r="B43" s="1771">
        <v>44713</v>
      </c>
      <c r="C43" s="1772">
        <v>3894.6779999999994</v>
      </c>
      <c r="D43"/>
      <c r="N43" s="97"/>
      <c r="O43" s="97"/>
      <c r="P43" s="97"/>
      <c r="Q43" s="97"/>
      <c r="R43" s="97"/>
      <c r="S43" s="1130" t="s">
        <v>873</v>
      </c>
      <c r="T43" s="1131" t="s">
        <v>874</v>
      </c>
    </row>
    <row r="44" spans="2:24" ht="16.5">
      <c r="B44" s="1771">
        <v>44743</v>
      </c>
      <c r="C44" s="1772">
        <v>3651.1319999999996</v>
      </c>
      <c r="D44"/>
      <c r="S44" s="661" t="s">
        <v>538</v>
      </c>
      <c r="T44" s="662" t="s">
        <v>907</v>
      </c>
    </row>
    <row r="45" spans="2:24" ht="16.5">
      <c r="B45" s="1771">
        <v>44774</v>
      </c>
      <c r="C45" s="1772">
        <v>3651.1319999999996</v>
      </c>
      <c r="D45"/>
      <c r="S45" s="1130" t="s">
        <v>873</v>
      </c>
      <c r="T45" s="1131" t="s">
        <v>874</v>
      </c>
    </row>
    <row r="46" spans="2:24" ht="16.5">
      <c r="B46" s="1771" t="s">
        <v>921</v>
      </c>
      <c r="C46" s="1772">
        <v>44819.609999999993</v>
      </c>
      <c r="D46"/>
      <c r="S46" s="661" t="s">
        <v>535</v>
      </c>
      <c r="T46" s="662" t="s">
        <v>907</v>
      </c>
    </row>
    <row r="47" spans="2:24" ht="16.5">
      <c r="B47"/>
      <c r="C47"/>
      <c r="D47"/>
      <c r="S47" s="1130" t="s">
        <v>873</v>
      </c>
      <c r="T47" s="1131" t="s">
        <v>874</v>
      </c>
    </row>
    <row r="48" spans="2:24" ht="16.5">
      <c r="B48"/>
      <c r="C48"/>
      <c r="D48"/>
      <c r="S48" s="661" t="s">
        <v>537</v>
      </c>
      <c r="T48" s="662" t="s">
        <v>907</v>
      </c>
    </row>
    <row r="49" spans="2:21" ht="16.5">
      <c r="B49"/>
      <c r="C49"/>
      <c r="D49"/>
      <c r="S49" s="1130" t="s">
        <v>873</v>
      </c>
      <c r="T49" s="1131" t="s">
        <v>874</v>
      </c>
    </row>
    <row r="50" spans="2:21" ht="16.5">
      <c r="B50"/>
      <c r="C50"/>
      <c r="D50"/>
      <c r="S50" s="661" t="s">
        <v>533</v>
      </c>
      <c r="T50" s="662" t="s">
        <v>907</v>
      </c>
    </row>
    <row r="51" spans="2:21" ht="16.5">
      <c r="B51"/>
      <c r="C51"/>
      <c r="S51" s="1130" t="s">
        <v>873</v>
      </c>
      <c r="T51" s="1131" t="s">
        <v>874</v>
      </c>
    </row>
    <row r="52" spans="2:21" ht="16.5">
      <c r="B52"/>
      <c r="C52"/>
      <c r="S52" s="661" t="s">
        <v>878</v>
      </c>
      <c r="T52" s="662" t="s">
        <v>907</v>
      </c>
    </row>
    <row r="53" spans="2:21" ht="16.5">
      <c r="B53"/>
      <c r="C53"/>
      <c r="S53" s="1130" t="s">
        <v>873</v>
      </c>
      <c r="T53" s="1131" t="s">
        <v>874</v>
      </c>
    </row>
    <row r="54" spans="2:21" ht="14.25">
      <c r="S54" s="661" t="s">
        <v>895</v>
      </c>
      <c r="T54" s="662" t="s">
        <v>907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922</v>
      </c>
      <c r="K61" s="68"/>
    </row>
    <row r="62" spans="2:21" ht="14.25">
      <c r="B62" s="1166" t="s">
        <v>923</v>
      </c>
      <c r="C62" s="1166"/>
      <c r="D62" s="1166" t="s">
        <v>886</v>
      </c>
      <c r="E62" s="1166" t="s">
        <v>49</v>
      </c>
      <c r="F62" s="1166" t="s">
        <v>889</v>
      </c>
      <c r="G62" s="1166" t="s">
        <v>47</v>
      </c>
      <c r="H62" s="1166" t="s">
        <v>41</v>
      </c>
      <c r="I62" s="1166" t="s">
        <v>40</v>
      </c>
      <c r="J62" s="1166" t="s">
        <v>112</v>
      </c>
      <c r="K62" s="1166" t="s">
        <v>924</v>
      </c>
      <c r="L62" s="1166" t="s">
        <v>925</v>
      </c>
      <c r="M62" s="1166" t="s">
        <v>926</v>
      </c>
      <c r="N62" s="1166" t="s">
        <v>927</v>
      </c>
      <c r="O62" s="1166" t="s">
        <v>928</v>
      </c>
      <c r="P62" s="1166" t="s">
        <v>929</v>
      </c>
      <c r="Q62" s="1166" t="s">
        <v>930</v>
      </c>
      <c r="R62" s="1166" t="s">
        <v>931</v>
      </c>
      <c r="S62" s="1166" t="s">
        <v>2025</v>
      </c>
      <c r="T62" s="1166" t="s">
        <v>1051</v>
      </c>
      <c r="U62" s="1166" t="s">
        <v>2081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34540.718825092117</v>
      </c>
      <c r="H63" s="103">
        <f t="shared" ca="1" si="4"/>
        <v>202948.02008067977</v>
      </c>
      <c r="I63" s="103">
        <f t="shared" ca="1" si="4"/>
        <v>4533.1199636684323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1645.0888733999996</v>
      </c>
      <c r="O63" s="103">
        <f t="shared" ca="1" si="4"/>
        <v>22418.587079999979</v>
      </c>
      <c r="P63" s="103">
        <f t="shared" ca="1" si="4"/>
        <v>0</v>
      </c>
      <c r="Q63" s="103">
        <f t="shared" ca="1" si="4"/>
        <v>4112.7909099999997</v>
      </c>
      <c r="R63" s="103">
        <f t="shared" ca="1" si="4"/>
        <v>1126234.9362804084</v>
      </c>
      <c r="S63" s="103">
        <f ca="1">DSUM(MercadoBase,S$62,INDIRECT("P"&amp;5+2*(ROW()-65)&amp;":P"&amp;6+2*(ROW()-65)))</f>
        <v>0</v>
      </c>
      <c r="T63" s="103">
        <f t="shared" ca="1" si="4"/>
        <v>-200125.15455819794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35095.329309482404</v>
      </c>
      <c r="H64" s="103">
        <f t="shared" ca="1" si="4"/>
        <v>207003.43576699513</v>
      </c>
      <c r="I64" s="103">
        <f t="shared" ca="1" si="4"/>
        <v>4745.0417574979101</v>
      </c>
      <c r="J64" s="103">
        <f t="shared" ca="1" si="4"/>
        <v>0</v>
      </c>
      <c r="K64" s="103">
        <f t="shared" ca="1" si="4"/>
        <v>0</v>
      </c>
      <c r="L64" s="103">
        <f t="shared" ca="1" si="4"/>
        <v>0</v>
      </c>
      <c r="M64" s="103">
        <f t="shared" ca="1" si="4"/>
        <v>0</v>
      </c>
      <c r="N64" s="103">
        <f t="shared" ca="1" si="4"/>
        <v>1652.8872042000003</v>
      </c>
      <c r="O64" s="103">
        <f t="shared" ca="1" si="4"/>
        <v>25404.36695999997</v>
      </c>
      <c r="P64" s="103">
        <f t="shared" ca="1" si="4"/>
        <v>0</v>
      </c>
      <c r="Q64" s="103">
        <f t="shared" ca="1" si="4"/>
        <v>4431.2902999999988</v>
      </c>
      <c r="R64" s="103">
        <f t="shared" ca="1" si="4"/>
        <v>1157413.6541339981</v>
      </c>
      <c r="S64" s="103">
        <f t="shared" ca="1" si="4"/>
        <v>0</v>
      </c>
      <c r="T64" s="103">
        <f t="shared" ca="1" si="4"/>
        <v>-205665.42464605681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34583.168354166977</v>
      </c>
      <c r="H65" s="103">
        <f t="shared" ca="1" si="4"/>
        <v>203545.93289743504</v>
      </c>
      <c r="I65" s="103">
        <f t="shared" ca="1" si="4"/>
        <v>4601.7634805722528</v>
      </c>
      <c r="J65" s="103">
        <f t="shared" ca="1" si="4"/>
        <v>0</v>
      </c>
      <c r="K65" s="103">
        <f t="shared" ca="1" si="4"/>
        <v>0</v>
      </c>
      <c r="L65" s="103">
        <f t="shared" ca="1" si="4"/>
        <v>0</v>
      </c>
      <c r="M65" s="103">
        <f t="shared" ca="1" si="4"/>
        <v>0</v>
      </c>
      <c r="N65" s="103">
        <f t="shared" ca="1" si="4"/>
        <v>1715.9816249999985</v>
      </c>
      <c r="O65" s="103">
        <f t="shared" ca="1" si="4"/>
        <v>23214.130199999981</v>
      </c>
      <c r="P65" s="103">
        <f t="shared" ca="1" si="4"/>
        <v>0</v>
      </c>
      <c r="Q65" s="103">
        <f t="shared" ca="1" si="4"/>
        <v>4421.5133199999991</v>
      </c>
      <c r="R65" s="103">
        <f t="shared" ca="1" si="4"/>
        <v>1125718.8973785345</v>
      </c>
      <c r="S65" s="103">
        <f t="shared" ca="1" si="4"/>
        <v>0</v>
      </c>
      <c r="T65" s="103">
        <f t="shared" ca="1" si="4"/>
        <v>-200033.45755815931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31554.17660794652</v>
      </c>
      <c r="H66" s="103">
        <f t="shared" ca="1" si="4"/>
        <v>186240.28709923997</v>
      </c>
      <c r="I66" s="103">
        <f t="shared" ca="1" si="4"/>
        <v>4291.1352756790657</v>
      </c>
      <c r="J66" s="103">
        <f t="shared" ca="1" si="4"/>
        <v>0</v>
      </c>
      <c r="K66" s="103">
        <f t="shared" ca="1" si="4"/>
        <v>0</v>
      </c>
      <c r="L66" s="103">
        <f t="shared" ca="1" si="4"/>
        <v>0</v>
      </c>
      <c r="M66" s="103">
        <f t="shared" ca="1" si="4"/>
        <v>0</v>
      </c>
      <c r="N66" s="103">
        <f t="shared" ca="1" si="4"/>
        <v>1966.9343844000023</v>
      </c>
      <c r="O66" s="103">
        <f t="shared" ca="1" si="4"/>
        <v>22932.969479999978</v>
      </c>
      <c r="P66" s="103">
        <f t="shared" ca="1" si="4"/>
        <v>0</v>
      </c>
      <c r="Q66" s="103">
        <f t="shared" ca="1" si="4"/>
        <v>4591.0858899999994</v>
      </c>
      <c r="R66" s="103">
        <f t="shared" ca="1" si="4"/>
        <v>1118820.5595010736</v>
      </c>
      <c r="S66" s="103">
        <f t="shared" ca="1" si="4"/>
        <v>0</v>
      </c>
      <c r="T66" s="103">
        <f t="shared" ca="1" si="4"/>
        <v>-198807.66452914785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33649.320119514232</v>
      </c>
      <c r="H67" s="103">
        <f t="shared" ca="1" si="4"/>
        <v>198868.16179865052</v>
      </c>
      <c r="I67" s="103">
        <f t="shared" ca="1" si="4"/>
        <v>4624.0073116161839</v>
      </c>
      <c r="J67" s="103">
        <f t="shared" ca="1" si="4"/>
        <v>0</v>
      </c>
      <c r="K67" s="103">
        <f t="shared" ca="1" si="4"/>
        <v>0</v>
      </c>
      <c r="L67" s="103">
        <f t="shared" ca="1" si="4"/>
        <v>0</v>
      </c>
      <c r="M67" s="103">
        <f t="shared" ca="1" si="4"/>
        <v>0</v>
      </c>
      <c r="N67" s="103">
        <f t="shared" ca="1" si="4"/>
        <v>2016.7682333999987</v>
      </c>
      <c r="O67" s="103">
        <f t="shared" ca="1" si="4"/>
        <v>27674.035559999975</v>
      </c>
      <c r="P67" s="103">
        <f t="shared" ca="1" si="4"/>
        <v>0</v>
      </c>
      <c r="Q67" s="103">
        <f t="shared" ca="1" si="4"/>
        <v>4768.2980099999986</v>
      </c>
      <c r="R67" s="103">
        <f t="shared" ca="1" si="4"/>
        <v>1166113.0476595969</v>
      </c>
      <c r="S67" s="103">
        <f t="shared" ca="1" si="4"/>
        <v>0</v>
      </c>
      <c r="T67" s="103">
        <f t="shared" ca="1" si="4"/>
        <v>-207211.2543995032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34509.89468910508</v>
      </c>
      <c r="H68" s="103">
        <f t="shared" ca="1" si="4"/>
        <v>205315.63004924342</v>
      </c>
      <c r="I68" s="103">
        <f t="shared" ca="1" si="4"/>
        <v>4978.5219955661451</v>
      </c>
      <c r="J68" s="103">
        <f t="shared" ca="1" si="4"/>
        <v>0</v>
      </c>
      <c r="K68" s="103">
        <f t="shared" ca="1" si="4"/>
        <v>0</v>
      </c>
      <c r="L68" s="103">
        <f t="shared" ca="1" si="4"/>
        <v>0</v>
      </c>
      <c r="M68" s="103">
        <f t="shared" ca="1" si="4"/>
        <v>0</v>
      </c>
      <c r="N68" s="103">
        <f t="shared" ca="1" si="4"/>
        <v>1408.3511327999986</v>
      </c>
      <c r="O68" s="103">
        <f t="shared" ca="1" si="4"/>
        <v>30117.985560399968</v>
      </c>
      <c r="P68" s="103">
        <f t="shared" ca="1" si="4"/>
        <v>0</v>
      </c>
      <c r="Q68" s="103">
        <f t="shared" ca="1" si="4"/>
        <v>5142.367699999998</v>
      </c>
      <c r="R68" s="103">
        <f t="shared" ca="1" si="4"/>
        <v>1280797.8078119524</v>
      </c>
      <c r="S68" s="103">
        <f t="shared" ca="1" si="4"/>
        <v>0</v>
      </c>
      <c r="T68" s="103">
        <f t="shared" ca="1" si="4"/>
        <v>-227590.04448282346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38292.918427176301</v>
      </c>
      <c r="H69" s="103">
        <f t="shared" ca="1" si="4"/>
        <v>225653.91209743803</v>
      </c>
      <c r="I69" s="103">
        <f t="shared" ca="1" si="4"/>
        <v>5151.3672694679217</v>
      </c>
      <c r="J69" s="103">
        <f t="shared" ca="1" si="4"/>
        <v>0</v>
      </c>
      <c r="K69" s="103">
        <f t="shared" ca="1" si="4"/>
        <v>0</v>
      </c>
      <c r="L69" s="103">
        <f t="shared" ca="1" si="4"/>
        <v>0</v>
      </c>
      <c r="M69" s="103">
        <f t="shared" ca="1" si="4"/>
        <v>0</v>
      </c>
      <c r="N69" s="103">
        <f t="shared" ca="1" si="4"/>
        <v>1477.4744244000003</v>
      </c>
      <c r="O69" s="103">
        <f t="shared" ca="1" si="4"/>
        <v>26915.62646279997</v>
      </c>
      <c r="P69" s="103">
        <f t="shared" ca="1" si="4"/>
        <v>0</v>
      </c>
      <c r="Q69" s="103">
        <f t="shared" ca="1" si="4"/>
        <v>5149.1710799999983</v>
      </c>
      <c r="R69" s="103">
        <f t="shared" ca="1" si="4"/>
        <v>1271450.2449258023</v>
      </c>
      <c r="S69" s="103">
        <f t="shared" ca="1" si="4"/>
        <v>0</v>
      </c>
      <c r="T69" s="103">
        <f t="shared" ca="1" si="4"/>
        <v>-225929.03894386237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33894.531786247207</v>
      </c>
      <c r="H70" s="103">
        <f t="shared" ca="1" si="4"/>
        <v>199752.51255891417</v>
      </c>
      <c r="I70" s="103">
        <f t="shared" ca="1" si="4"/>
        <v>4569.6642796935384</v>
      </c>
      <c r="J70" s="103">
        <f t="shared" ca="1" si="4"/>
        <v>0</v>
      </c>
      <c r="K70" s="103">
        <f t="shared" ca="1" si="4"/>
        <v>0</v>
      </c>
      <c r="L70" s="103">
        <f t="shared" ca="1" si="4"/>
        <v>0</v>
      </c>
      <c r="M70" s="103">
        <f t="shared" ca="1" si="4"/>
        <v>0</v>
      </c>
      <c r="N70" s="103">
        <f t="shared" ca="1" si="4"/>
        <v>1427.1695951999995</v>
      </c>
      <c r="O70" s="103">
        <f t="shared" ca="1" si="4"/>
        <v>22779.354599999981</v>
      </c>
      <c r="P70" s="103">
        <f t="shared" ca="1" si="4"/>
        <v>0</v>
      </c>
      <c r="Q70" s="103">
        <f t="shared" ca="1" si="4"/>
        <v>5651.7685599999986</v>
      </c>
      <c r="R70" s="103">
        <f t="shared" ca="1" si="4"/>
        <v>1132002.4249120944</v>
      </c>
      <c r="S70" s="103">
        <f t="shared" ca="1" si="4"/>
        <v>0</v>
      </c>
      <c r="T70" s="103">
        <f t="shared" ca="1" si="4"/>
        <v>-201150.00249768799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34852.295169024736</v>
      </c>
      <c r="H71" s="103">
        <f t="shared" ca="1" si="4"/>
        <v>204662.39240754498</v>
      </c>
      <c r="I71" s="103">
        <f t="shared" ca="1" si="4"/>
        <v>4578.209563229253</v>
      </c>
      <c r="J71" s="103">
        <f t="shared" ca="1" si="4"/>
        <v>0</v>
      </c>
      <c r="K71" s="103">
        <f t="shared" ca="1" si="4"/>
        <v>0</v>
      </c>
      <c r="L71" s="103">
        <f t="shared" ca="1" si="4"/>
        <v>0</v>
      </c>
      <c r="M71" s="103">
        <f t="shared" ca="1" si="4"/>
        <v>0</v>
      </c>
      <c r="N71" s="103">
        <f t="shared" ca="1" si="4"/>
        <v>1556.1880313999991</v>
      </c>
      <c r="O71" s="103">
        <f t="shared" ca="1" si="4"/>
        <v>20457.810359999985</v>
      </c>
      <c r="P71" s="103">
        <f t="shared" ca="1" si="4"/>
        <v>0</v>
      </c>
      <c r="Q71" s="103">
        <f t="shared" ca="1" si="4"/>
        <v>6105.1162899999981</v>
      </c>
      <c r="R71" s="103">
        <f t="shared" ca="1" si="4"/>
        <v>1141938.4530490036</v>
      </c>
      <c r="S71" s="103">
        <f t="shared" ca="1" si="4"/>
        <v>0</v>
      </c>
      <c r="T71" s="103">
        <f t="shared" ca="1" si="4"/>
        <v>-202915.57476199785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35954.816056958174</v>
      </c>
      <c r="H72" s="103">
        <f t="shared" ca="1" si="4"/>
        <v>212263.05622225109</v>
      </c>
      <c r="I72" s="103">
        <f t="shared" ca="1" si="4"/>
        <v>4918.4360754416039</v>
      </c>
      <c r="J72" s="103">
        <f t="shared" ca="1" si="4"/>
        <v>0</v>
      </c>
      <c r="K72" s="103">
        <f t="shared" ca="1" si="4"/>
        <v>0</v>
      </c>
      <c r="L72" s="103">
        <f t="shared" ca="1" si="4"/>
        <v>0</v>
      </c>
      <c r="M72" s="103">
        <f t="shared" ca="1" si="4"/>
        <v>0</v>
      </c>
      <c r="N72" s="103">
        <f t="shared" ca="1" si="4"/>
        <v>1592.7440862000008</v>
      </c>
      <c r="O72" s="103">
        <f t="shared" ca="1" si="4"/>
        <v>26019.526319999975</v>
      </c>
      <c r="P72" s="103">
        <f t="shared" ca="1" si="4"/>
        <v>0</v>
      </c>
      <c r="Q72" s="103">
        <f t="shared" ca="1" si="4"/>
        <v>6273.6745599999995</v>
      </c>
      <c r="R72" s="103">
        <f t="shared" ca="1" si="4"/>
        <v>1211741.1405534763</v>
      </c>
      <c r="S72" s="103">
        <f t="shared" ca="1" si="4"/>
        <v>0</v>
      </c>
      <c r="T72" s="103">
        <f t="shared" ca="1" si="4"/>
        <v>-215319.09127121419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33711.267636672252</v>
      </c>
      <c r="H73" s="103">
        <f t="shared" ca="1" si="4"/>
        <v>199170.13402593927</v>
      </c>
      <c r="I73" s="103">
        <f t="shared" ca="1" si="4"/>
        <v>4630.4725886431297</v>
      </c>
      <c r="J73" s="103">
        <f t="shared" ca="1" si="4"/>
        <v>0</v>
      </c>
      <c r="K73" s="103">
        <f t="shared" ca="1" si="4"/>
        <v>0</v>
      </c>
      <c r="L73" s="103">
        <f t="shared" ca="1" si="4"/>
        <v>0</v>
      </c>
      <c r="M73" s="103">
        <f t="shared" ca="1" si="4"/>
        <v>0</v>
      </c>
      <c r="N73" s="103">
        <f t="shared" ca="1" si="4"/>
        <v>1745.0695206000028</v>
      </c>
      <c r="O73" s="103">
        <f t="shared" ca="1" si="4"/>
        <v>23590.031759999976</v>
      </c>
      <c r="P73" s="103">
        <f t="shared" ca="1" si="4"/>
        <v>0</v>
      </c>
      <c r="Q73" s="103">
        <f t="shared" ca="1" si="4"/>
        <v>6081.7579499999993</v>
      </c>
      <c r="R73" s="103">
        <f t="shared" ca="1" si="4"/>
        <v>1180882.6405643406</v>
      </c>
      <c r="S73" s="103">
        <f t="shared" ca="1" si="4"/>
        <v>0</v>
      </c>
      <c r="T73" s="103">
        <f t="shared" ca="1" si="4"/>
        <v>-209835.7219662664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33711.267636672252</v>
      </c>
      <c r="H74" s="103">
        <f t="shared" ca="1" si="4"/>
        <v>199170.13402593927</v>
      </c>
      <c r="I74" s="103">
        <f t="shared" ca="1" si="4"/>
        <v>4630.4725886431297</v>
      </c>
      <c r="J74" s="103">
        <f t="shared" ca="1" si="4"/>
        <v>0</v>
      </c>
      <c r="K74" s="103">
        <f t="shared" ca="1" si="4"/>
        <v>0</v>
      </c>
      <c r="L74" s="103">
        <f t="shared" ca="1" si="4"/>
        <v>0</v>
      </c>
      <c r="M74" s="103">
        <f t="shared" ca="1" si="4"/>
        <v>0</v>
      </c>
      <c r="N74" s="103">
        <f t="shared" ca="1" si="4"/>
        <v>1745.0695206000028</v>
      </c>
      <c r="O74" s="103">
        <f t="shared" ca="1" si="4"/>
        <v>23590.031759999976</v>
      </c>
      <c r="P74" s="103">
        <f t="shared" ca="1" si="4"/>
        <v>0</v>
      </c>
      <c r="Q74" s="103">
        <f t="shared" ca="1" si="4"/>
        <v>6081.7579499999993</v>
      </c>
      <c r="R74" s="103">
        <f t="shared" ca="1" si="4"/>
        <v>1180882.6405643406</v>
      </c>
      <c r="S74" s="103">
        <f t="shared" ca="1" si="4"/>
        <v>0</v>
      </c>
      <c r="T74" s="103">
        <f t="shared" ca="1" si="4"/>
        <v>-209835.7219662664</v>
      </c>
      <c r="U74" s="103">
        <f t="shared" ca="1" si="4"/>
        <v>0</v>
      </c>
    </row>
    <row r="75" spans="2:21" ht="14.25">
      <c r="B75" s="1167" t="s">
        <v>932</v>
      </c>
      <c r="C75" s="1168"/>
      <c r="D75" s="1168">
        <f t="shared" ref="D75:Q75" ca="1" si="5">SUM(D63:D74)</f>
        <v>0</v>
      </c>
      <c r="E75" s="1168">
        <f t="shared" ca="1" si="5"/>
        <v>0</v>
      </c>
      <c r="F75" s="1168">
        <f t="shared" ca="1" si="5"/>
        <v>0</v>
      </c>
      <c r="G75" s="1168">
        <f t="shared" ca="1" si="5"/>
        <v>414349.70461805823</v>
      </c>
      <c r="H75" s="1168">
        <f t="shared" ca="1" si="5"/>
        <v>2444593.6090302705</v>
      </c>
      <c r="I75" s="1168">
        <f t="shared" ca="1" si="5"/>
        <v>56252.212149718573</v>
      </c>
      <c r="J75" s="1168">
        <f t="shared" ca="1" si="5"/>
        <v>0</v>
      </c>
      <c r="K75" s="1168">
        <f t="shared" ca="1" si="5"/>
        <v>0</v>
      </c>
      <c r="L75" s="1168">
        <f t="shared" ca="1" si="5"/>
        <v>0</v>
      </c>
      <c r="M75" s="1168">
        <f t="shared" ca="1" si="5"/>
        <v>0</v>
      </c>
      <c r="N75" s="1168">
        <f t="shared" ca="1" si="5"/>
        <v>19949.726631600002</v>
      </c>
      <c r="O75" s="1168">
        <f t="shared" ca="1" si="5"/>
        <v>295114.45610319969</v>
      </c>
      <c r="P75" s="1168">
        <f t="shared" ca="1" si="5"/>
        <v>0</v>
      </c>
      <c r="Q75" s="1168">
        <f t="shared" ca="1" si="5"/>
        <v>62810.592519999984</v>
      </c>
      <c r="R75" s="1168">
        <f t="shared" ref="R75:S75" ca="1" si="6">SUM(R63:R74)</f>
        <v>14093996.447334623</v>
      </c>
      <c r="S75" s="1168">
        <f t="shared" ca="1" si="6"/>
        <v>0</v>
      </c>
      <c r="T75" s="1168">
        <f t="shared" ref="T75:U75" ca="1" si="7">SUM(T63:T74)</f>
        <v>-2504418.151581184</v>
      </c>
      <c r="U75" s="1168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933</v>
      </c>
    </row>
    <row r="78" spans="2:21" ht="14.25">
      <c r="J78" s="94" t="s">
        <v>934</v>
      </c>
      <c r="K78" s="1169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0" t="s">
        <v>935</v>
      </c>
      <c r="C79" s="1171">
        <f t="shared" ref="C79:C84" ca="1" si="8">SUM(INDIRECT("dados_MercadoBase["&amp;B79&amp;"]"))</f>
        <v>5322612.5556548052</v>
      </c>
      <c r="J79" s="94" t="s">
        <v>936</v>
      </c>
      <c r="K79" s="1172"/>
      <c r="L79" s="1172"/>
      <c r="M79" s="1172">
        <f>SUMIFS(M63:M74,$B$63:$B$74,42826)</f>
        <v>0</v>
      </c>
      <c r="N79" s="1172">
        <f>SUMIFS(N63:N74,$B$63:$B$74,42826)</f>
        <v>0</v>
      </c>
      <c r="O79" s="1172">
        <f>SUMIFS(O63:O74,$B$63:$B$74,42826)</f>
        <v>0</v>
      </c>
      <c r="P79" s="1172">
        <f>SUMIFS(P63:P74,$B$63:$B$74,42826)</f>
        <v>0</v>
      </c>
      <c r="Q79" s="1172">
        <f>SUMIFS(Q63:Q74,$B$63:$B$74,42826)</f>
        <v>0</v>
      </c>
    </row>
    <row r="80" spans="2:21" ht="14.25">
      <c r="B80" s="117" t="s">
        <v>937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938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939</v>
      </c>
      <c r="C82" s="103">
        <f t="shared" ca="1" si="8"/>
        <v>0</v>
      </c>
    </row>
    <row r="83" spans="2:13" ht="14.25">
      <c r="B83" s="117" t="s">
        <v>940</v>
      </c>
      <c r="C83" s="103">
        <f t="shared" ca="1" si="8"/>
        <v>523273.78133683815</v>
      </c>
    </row>
    <row r="84" spans="2:13" ht="14.25">
      <c r="B84" s="117" t="s">
        <v>939</v>
      </c>
      <c r="C84" s="103">
        <f t="shared" ca="1" si="8"/>
        <v>0</v>
      </c>
    </row>
    <row r="85" spans="2:13" ht="14.25">
      <c r="B85" s="1173"/>
      <c r="C85" s="1174"/>
    </row>
    <row r="86" spans="2:13" ht="14.25"/>
    <row r="87" spans="2:13" ht="14.25">
      <c r="B87" s="1170" t="s">
        <v>941</v>
      </c>
      <c r="C87" s="1171">
        <f t="shared" ref="C87:C97" ca="1" si="9">SUM(INDIRECT("dados_MercadoBase["&amp;B87&amp;"]"))</f>
        <v>0</v>
      </c>
    </row>
    <row r="88" spans="2:13" ht="14.25">
      <c r="B88" s="117" t="s">
        <v>942</v>
      </c>
      <c r="C88" s="103">
        <f t="shared" ca="1" si="9"/>
        <v>0</v>
      </c>
    </row>
    <row r="89" spans="2:13" ht="14.25">
      <c r="B89" s="117" t="s">
        <v>943</v>
      </c>
      <c r="C89" s="103">
        <f t="shared" ca="1" si="9"/>
        <v>0</v>
      </c>
    </row>
    <row r="90" spans="2:13" ht="14.25">
      <c r="B90" s="117" t="s">
        <v>944</v>
      </c>
      <c r="C90" s="103">
        <f t="shared" ca="1" si="9"/>
        <v>0</v>
      </c>
    </row>
    <row r="91" spans="2:13" ht="14.25">
      <c r="B91" s="117" t="s">
        <v>945</v>
      </c>
      <c r="C91" s="103">
        <f t="shared" ca="1" si="9"/>
        <v>0</v>
      </c>
    </row>
    <row r="92" spans="2:13" ht="14.25">
      <c r="B92" s="117" t="s">
        <v>946</v>
      </c>
      <c r="C92" s="103">
        <f t="shared" ca="1" si="9"/>
        <v>0</v>
      </c>
      <c r="G92" s="104"/>
    </row>
    <row r="93" spans="2:13" ht="14.25">
      <c r="B93" s="117" t="s">
        <v>947</v>
      </c>
      <c r="C93" s="103">
        <f t="shared" ca="1" si="9"/>
        <v>0</v>
      </c>
      <c r="E93" s="105"/>
      <c r="G93" s="79"/>
    </row>
    <row r="94" spans="2:13" ht="14.25">
      <c r="B94" s="117" t="s">
        <v>948</v>
      </c>
      <c r="C94" s="103">
        <f t="shared" ca="1" si="9"/>
        <v>0</v>
      </c>
      <c r="E94" s="105"/>
      <c r="G94" s="105"/>
    </row>
    <row r="95" spans="2:13" ht="14.25">
      <c r="B95" s="117" t="s">
        <v>949</v>
      </c>
      <c r="C95" s="103">
        <f t="shared" ca="1" si="9"/>
        <v>0</v>
      </c>
      <c r="E95" s="105"/>
      <c r="G95" s="105"/>
    </row>
    <row r="96" spans="2:13" ht="14.25">
      <c r="B96" s="117" t="s">
        <v>950</v>
      </c>
      <c r="C96" s="103">
        <f ca="1">SUM(INDIRECT("dados_MercadoBase["&amp;B96&amp;"]"))</f>
        <v>4795992.6437891256</v>
      </c>
      <c r="E96" s="105"/>
      <c r="G96" s="105"/>
    </row>
    <row r="97" spans="1:7" ht="14.25">
      <c r="B97" s="1173" t="s">
        <v>951</v>
      </c>
      <c r="C97" s="1174">
        <f t="shared" ca="1" si="9"/>
        <v>14093996.44733464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952</v>
      </c>
      <c r="C100" s="229"/>
      <c r="D100" s="230"/>
      <c r="E100" s="105"/>
      <c r="G100" s="250"/>
    </row>
    <row r="101" spans="1:7" ht="12.75" customHeight="1">
      <c r="A101" s="230"/>
      <c r="B101" s="1162" t="s">
        <v>953</v>
      </c>
      <c r="C101" s="1163" t="s">
        <v>872</v>
      </c>
      <c r="D101" s="230"/>
    </row>
    <row r="102" spans="1:7" ht="12.75" customHeight="1">
      <c r="A102" s="230"/>
      <c r="B102" s="1164" t="s">
        <v>954</v>
      </c>
      <c r="C102" s="1175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955</v>
      </c>
      <c r="E109" s="110"/>
    </row>
    <row r="111" spans="1:7" ht="12.75" customHeight="1">
      <c r="B111" s="1134" t="s">
        <v>776</v>
      </c>
      <c r="C111" s="1134" t="s">
        <v>108</v>
      </c>
      <c r="D111" s="1134" t="s">
        <v>882</v>
      </c>
    </row>
    <row r="112" spans="1:7" ht="12.75" customHeight="1">
      <c r="B112" s="1136" t="s">
        <v>907</v>
      </c>
      <c r="C112" s="1137"/>
      <c r="D112" s="1138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895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59" t="s">
        <v>767</v>
      </c>
      <c r="C120" s="1160">
        <f ca="1">SUM(C114:C119)</f>
        <v>0</v>
      </c>
      <c r="D120" s="1161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199" activePane="bottomLeft" state="frozen"/>
      <selection pane="bottomLeft" activeCell="M15" sqref="M15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956</v>
      </c>
      <c r="B2" s="259" t="s">
        <v>953</v>
      </c>
      <c r="C2" s="260" t="s">
        <v>58</v>
      </c>
      <c r="D2" s="259" t="s">
        <v>873</v>
      </c>
      <c r="E2" s="260" t="s">
        <v>524</v>
      </c>
      <c r="F2" s="260" t="s">
        <v>902</v>
      </c>
      <c r="G2" s="260" t="s">
        <v>957</v>
      </c>
      <c r="H2" s="260" t="s">
        <v>958</v>
      </c>
      <c r="I2" s="260" t="s">
        <v>959</v>
      </c>
      <c r="J2" s="260" t="s">
        <v>960</v>
      </c>
      <c r="K2" s="485" t="s">
        <v>872</v>
      </c>
      <c r="L2" s="286" t="s">
        <v>961</v>
      </c>
      <c r="M2" s="286" t="s">
        <v>962</v>
      </c>
      <c r="N2" s="286" t="s">
        <v>963</v>
      </c>
      <c r="O2" s="286" t="s">
        <v>964</v>
      </c>
      <c r="P2" s="286" t="s">
        <v>965</v>
      </c>
      <c r="Q2" s="286" t="s">
        <v>966</v>
      </c>
      <c r="R2" s="260" t="s">
        <v>967</v>
      </c>
      <c r="S2" s="260" t="s">
        <v>968</v>
      </c>
      <c r="T2" s="260" t="s">
        <v>969</v>
      </c>
      <c r="U2" s="260" t="s">
        <v>970</v>
      </c>
      <c r="V2" s="260" t="s">
        <v>971</v>
      </c>
      <c r="W2" s="260" t="s">
        <v>767</v>
      </c>
      <c r="X2" s="260" t="s">
        <v>972</v>
      </c>
      <c r="Y2" s="260" t="s">
        <v>39</v>
      </c>
      <c r="Z2" s="260" t="s">
        <v>41</v>
      </c>
      <c r="AA2" s="260" t="s">
        <v>112</v>
      </c>
      <c r="AB2" s="260" t="s">
        <v>948</v>
      </c>
      <c r="AC2" s="260" t="s">
        <v>949</v>
      </c>
      <c r="AD2" s="260" t="s">
        <v>950</v>
      </c>
      <c r="AE2" s="260" t="s">
        <v>951</v>
      </c>
      <c r="AF2" s="260" t="s">
        <v>935</v>
      </c>
      <c r="AG2" s="260" t="s">
        <v>889</v>
      </c>
      <c r="AH2" s="260" t="s">
        <v>973</v>
      </c>
      <c r="AI2" s="260" t="s">
        <v>49</v>
      </c>
      <c r="AJ2" s="260" t="s">
        <v>947</v>
      </c>
      <c r="AK2" s="260" t="s">
        <v>886</v>
      </c>
      <c r="AL2" s="260" t="s">
        <v>47</v>
      </c>
      <c r="AM2" s="260" t="s">
        <v>38</v>
      </c>
      <c r="AN2" s="260" t="s">
        <v>40</v>
      </c>
      <c r="AO2" s="260" t="s">
        <v>943</v>
      </c>
      <c r="AP2" s="260" t="s">
        <v>945</v>
      </c>
      <c r="AQ2" s="260" t="s">
        <v>944</v>
      </c>
      <c r="AR2" s="260" t="s">
        <v>941</v>
      </c>
      <c r="AS2" s="260" t="s">
        <v>942</v>
      </c>
      <c r="AT2" s="260" t="s">
        <v>946</v>
      </c>
      <c r="AU2" s="260" t="s">
        <v>974</v>
      </c>
      <c r="AV2" s="260" t="s">
        <v>975</v>
      </c>
      <c r="AW2" s="260" t="s">
        <v>976</v>
      </c>
      <c r="AX2" s="260" t="s">
        <v>977</v>
      </c>
      <c r="AY2" s="260" t="s">
        <v>978</v>
      </c>
      <c r="AZ2" s="260" t="s">
        <v>979</v>
      </c>
      <c r="BA2" s="260" t="s">
        <v>980</v>
      </c>
      <c r="BB2" s="260" t="s">
        <v>981</v>
      </c>
      <c r="BC2" s="260" t="s">
        <v>982</v>
      </c>
      <c r="BD2" s="260" t="s">
        <v>983</v>
      </c>
      <c r="BE2" s="260" t="s">
        <v>984</v>
      </c>
      <c r="BF2" s="260" t="s">
        <v>985</v>
      </c>
      <c r="BG2" s="260" t="s">
        <v>986</v>
      </c>
      <c r="BH2" s="260" t="s">
        <v>987</v>
      </c>
      <c r="BI2" s="260" t="s">
        <v>988</v>
      </c>
      <c r="BJ2" s="260" t="s">
        <v>989</v>
      </c>
      <c r="BK2" s="260" t="s">
        <v>192</v>
      </c>
      <c r="BL2" s="260" t="s">
        <v>990</v>
      </c>
      <c r="BM2" s="260" t="s">
        <v>991</v>
      </c>
      <c r="BN2" s="260" t="s">
        <v>924</v>
      </c>
      <c r="BO2" s="260" t="s">
        <v>925</v>
      </c>
      <c r="BP2" s="260" t="s">
        <v>926</v>
      </c>
      <c r="BQ2" s="260" t="s">
        <v>927</v>
      </c>
      <c r="BR2" s="286" t="s">
        <v>928</v>
      </c>
      <c r="BS2" s="286" t="s">
        <v>929</v>
      </c>
      <c r="BT2" s="286" t="s">
        <v>930</v>
      </c>
      <c r="BU2" s="286" t="s">
        <v>992</v>
      </c>
      <c r="BV2" s="286" t="s">
        <v>993</v>
      </c>
      <c r="BW2" s="261" t="s">
        <v>994</v>
      </c>
      <c r="BX2" s="261" t="s">
        <v>995</v>
      </c>
      <c r="BY2" s="261" t="s">
        <v>996</v>
      </c>
      <c r="BZ2" s="261" t="s">
        <v>997</v>
      </c>
      <c r="CA2" s="261" t="s">
        <v>998</v>
      </c>
      <c r="CB2" s="261" t="s">
        <v>999</v>
      </c>
      <c r="CC2" s="261" t="s">
        <v>1000</v>
      </c>
      <c r="CD2" s="261" t="s">
        <v>1001</v>
      </c>
      <c r="CE2" s="261" t="s">
        <v>1002</v>
      </c>
      <c r="CF2" s="261" t="s">
        <v>1003</v>
      </c>
      <c r="CG2" s="261" t="s">
        <v>1004</v>
      </c>
      <c r="CH2" s="261" t="s">
        <v>1005</v>
      </c>
      <c r="CI2" s="261" t="s">
        <v>1006</v>
      </c>
      <c r="CJ2" s="286" t="s">
        <v>1007</v>
      </c>
      <c r="CK2" s="261" t="s">
        <v>1008</v>
      </c>
      <c r="CL2" s="261" t="s">
        <v>1009</v>
      </c>
      <c r="CM2" s="261" t="s">
        <v>1010</v>
      </c>
      <c r="CN2" s="261" t="s">
        <v>1011</v>
      </c>
      <c r="CO2" s="286" t="s">
        <v>1012</v>
      </c>
      <c r="CP2" s="286" t="s">
        <v>1013</v>
      </c>
      <c r="CQ2" s="286" t="s">
        <v>1014</v>
      </c>
      <c r="CR2" s="286" t="s">
        <v>1015</v>
      </c>
      <c r="CS2" s="286" t="s">
        <v>1016</v>
      </c>
      <c r="CT2" s="286" t="s">
        <v>1017</v>
      </c>
      <c r="CU2" s="286" t="s">
        <v>1018</v>
      </c>
      <c r="CV2" s="286" t="s">
        <v>1019</v>
      </c>
      <c r="CW2" s="286" t="s">
        <v>1020</v>
      </c>
      <c r="CX2" s="286" t="s">
        <v>1021</v>
      </c>
      <c r="CY2" s="286" t="s">
        <v>1022</v>
      </c>
      <c r="CZ2" s="286" t="s">
        <v>1023</v>
      </c>
      <c r="DA2" s="286" t="s">
        <v>1024</v>
      </c>
      <c r="DB2" s="286" t="s">
        <v>1025</v>
      </c>
      <c r="DC2" s="286" t="s">
        <v>1026</v>
      </c>
      <c r="DD2" s="286" t="s">
        <v>1027</v>
      </c>
      <c r="DE2" s="286" t="s">
        <v>1028</v>
      </c>
      <c r="DF2" s="286" t="s">
        <v>1029</v>
      </c>
      <c r="DG2" s="286" t="s">
        <v>1030</v>
      </c>
      <c r="DH2" s="286" t="s">
        <v>1031</v>
      </c>
      <c r="DI2" s="286" t="s">
        <v>1032</v>
      </c>
      <c r="DJ2" s="286" t="s">
        <v>1033</v>
      </c>
      <c r="DK2" s="286" t="s">
        <v>1034</v>
      </c>
      <c r="DL2" s="286" t="s">
        <v>1035</v>
      </c>
      <c r="DM2" s="286" t="s">
        <v>1036</v>
      </c>
      <c r="DN2" s="286" t="s">
        <v>1037</v>
      </c>
      <c r="DO2" s="286" t="s">
        <v>1038</v>
      </c>
      <c r="DP2" s="286" t="s">
        <v>1039</v>
      </c>
      <c r="DQ2" s="286" t="s">
        <v>1040</v>
      </c>
      <c r="DR2" s="286" t="s">
        <v>2081</v>
      </c>
      <c r="DS2" s="286" t="s">
        <v>1041</v>
      </c>
      <c r="DT2" s="261" t="s">
        <v>1042</v>
      </c>
      <c r="DU2" s="261" t="s">
        <v>1043</v>
      </c>
      <c r="DV2" s="261" t="s">
        <v>1044</v>
      </c>
      <c r="DW2" s="261" t="s">
        <v>1045</v>
      </c>
      <c r="DX2" s="261" t="s">
        <v>1046</v>
      </c>
      <c r="DY2" s="286" t="s">
        <v>1047</v>
      </c>
      <c r="DZ2" s="261" t="s">
        <v>1048</v>
      </c>
      <c r="EA2" s="261" t="s">
        <v>1049</v>
      </c>
      <c r="EB2" s="261" t="s">
        <v>1050</v>
      </c>
      <c r="EC2" s="286" t="s">
        <v>1051</v>
      </c>
      <c r="ED2" s="261" t="s">
        <v>1052</v>
      </c>
      <c r="EE2" s="261" t="s">
        <v>1053</v>
      </c>
      <c r="EF2" s="261" t="s">
        <v>1054</v>
      </c>
      <c r="EG2" s="261" t="s">
        <v>1055</v>
      </c>
      <c r="EH2" s="261" t="s">
        <v>1056</v>
      </c>
      <c r="EI2" s="261" t="s">
        <v>1057</v>
      </c>
      <c r="EJ2" s="261" t="s">
        <v>1058</v>
      </c>
      <c r="EK2" s="261" t="s">
        <v>1059</v>
      </c>
      <c r="EL2" s="261" t="s">
        <v>1060</v>
      </c>
      <c r="EM2" s="261" t="s">
        <v>1061</v>
      </c>
      <c r="EN2" s="261" t="s">
        <v>1062</v>
      </c>
      <c r="EO2" s="261" t="s">
        <v>1063</v>
      </c>
      <c r="EP2" s="286" t="s">
        <v>2025</v>
      </c>
      <c r="EQ2" s="261" t="s">
        <v>2026</v>
      </c>
      <c r="ER2" s="261" t="s">
        <v>2027</v>
      </c>
      <c r="ES2" s="261" t="s">
        <v>2028</v>
      </c>
      <c r="ET2" s="261" t="s">
        <v>2029</v>
      </c>
      <c r="EU2" s="261" t="s">
        <v>2030</v>
      </c>
      <c r="EV2" s="261" t="s">
        <v>1064</v>
      </c>
      <c r="EW2" s="261" t="s">
        <v>1065</v>
      </c>
      <c r="EX2" s="261" t="s">
        <v>1066</v>
      </c>
      <c r="EY2" s="261" t="s">
        <v>1067</v>
      </c>
      <c r="EZ2" s="261" t="s">
        <v>1068</v>
      </c>
      <c r="FA2" s="261" t="s">
        <v>1069</v>
      </c>
      <c r="FB2" s="261" t="s">
        <v>1070</v>
      </c>
      <c r="FC2" s="261" t="s">
        <v>1071</v>
      </c>
      <c r="FD2" s="261" t="s">
        <v>1072</v>
      </c>
      <c r="FE2" s="261" t="s">
        <v>1073</v>
      </c>
      <c r="FF2" s="261" t="s">
        <v>1074</v>
      </c>
      <c r="FG2" s="261" t="s">
        <v>1075</v>
      </c>
      <c r="FH2" s="261" t="s">
        <v>1076</v>
      </c>
      <c r="FI2" s="261" t="s">
        <v>1077</v>
      </c>
    </row>
    <row r="3" spans="1:165" customFormat="1">
      <c r="A3" s="399">
        <v>1</v>
      </c>
      <c r="B3" s="399" t="s">
        <v>954</v>
      </c>
      <c r="C3" s="399" t="s">
        <v>2336</v>
      </c>
      <c r="D3" s="399" t="s">
        <v>1819</v>
      </c>
      <c r="E3" s="399" t="s">
        <v>887</v>
      </c>
      <c r="F3" s="399" t="s">
        <v>887</v>
      </c>
      <c r="G3" s="399" t="s">
        <v>1237</v>
      </c>
      <c r="H3" s="399" t="s">
        <v>1237</v>
      </c>
      <c r="I3" s="399" t="s">
        <v>1237</v>
      </c>
      <c r="J3" s="399" t="s">
        <v>2337</v>
      </c>
      <c r="K3" s="788">
        <v>44440</v>
      </c>
      <c r="L3" s="399">
        <v>0</v>
      </c>
      <c r="M3" s="399">
        <v>0</v>
      </c>
      <c r="N3" s="399">
        <v>480.62900000000002</v>
      </c>
      <c r="O3" s="399">
        <v>480.62900000000002</v>
      </c>
      <c r="P3" s="399">
        <v>480.62900000000002</v>
      </c>
      <c r="Q3" s="399">
        <v>480.62900000000002</v>
      </c>
      <c r="R3" s="399"/>
      <c r="S3" s="399">
        <v>707.13</v>
      </c>
      <c r="T3" s="399">
        <v>119.97</v>
      </c>
      <c r="U3" s="399"/>
      <c r="V3" s="399">
        <v>397528.24589999998</v>
      </c>
      <c r="W3" s="399">
        <v>397528.24589999998</v>
      </c>
      <c r="X3" s="399">
        <v>350392.95986999996</v>
      </c>
      <c r="Y3" s="399">
        <v>0</v>
      </c>
      <c r="Z3" s="399">
        <v>29267.845076753249</v>
      </c>
      <c r="AA3" s="399">
        <v>0</v>
      </c>
      <c r="AB3" s="399">
        <v>0</v>
      </c>
      <c r="AC3" s="399">
        <v>0</v>
      </c>
      <c r="AD3" s="399">
        <v>51686.463348601079</v>
      </c>
      <c r="AE3" s="399">
        <v>244814.60465334749</v>
      </c>
      <c r="AF3" s="399">
        <v>57662.907982272671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4522.8274683477957</v>
      </c>
      <c r="AM3" s="399"/>
      <c r="AN3" s="399">
        <v>1033.9765674937973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8541.937331182522</v>
      </c>
      <c r="BH3" s="399">
        <v>0</v>
      </c>
      <c r="BI3" s="399">
        <v>0</v>
      </c>
      <c r="BJ3" s="399">
        <v>0</v>
      </c>
      <c r="BK3" s="399">
        <v>75718.820000000007</v>
      </c>
      <c r="BL3" s="399">
        <v>3107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66204.845313455196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350393.68889999995</v>
      </c>
      <c r="CJ3" s="399">
        <v>-47134.587000000058</v>
      </c>
      <c r="CK3" s="399"/>
      <c r="CL3" s="399"/>
      <c r="CM3" s="399"/>
      <c r="CN3" s="399"/>
      <c r="CO3" s="399">
        <v>-47135.286030000025</v>
      </c>
      <c r="CP3" s="399">
        <v>0</v>
      </c>
      <c r="CQ3" s="399">
        <v>30</v>
      </c>
      <c r="CR3" s="399">
        <v>-3632.7496011903859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-276.53187640799297</v>
      </c>
      <c r="DA3" s="399">
        <v>0</v>
      </c>
      <c r="DB3" s="399">
        <v>0</v>
      </c>
      <c r="DC3" s="399">
        <v>0</v>
      </c>
      <c r="DD3" s="399">
        <v>0</v>
      </c>
      <c r="DE3" s="399">
        <v>0</v>
      </c>
      <c r="DF3" s="399">
        <v>0</v>
      </c>
      <c r="DG3" s="399">
        <v>0</v>
      </c>
      <c r="DH3" s="399">
        <v>0</v>
      </c>
      <c r="DI3" s="399">
        <v>-2885.2904643469446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-385.4276883870898</v>
      </c>
      <c r="DP3" s="399">
        <v>-85.499572048353116</v>
      </c>
      <c r="DQ3" s="399">
        <v>0</v>
      </c>
      <c r="DR3" s="399">
        <v>0</v>
      </c>
      <c r="DS3" s="399"/>
      <c r="DT3" s="399"/>
      <c r="DU3" s="399"/>
      <c r="DV3" s="399">
        <v>244814.60465334749</v>
      </c>
      <c r="DW3" s="399">
        <v>0</v>
      </c>
      <c r="DX3" s="399">
        <v>0</v>
      </c>
      <c r="DY3" s="399">
        <v>-47135.286030000017</v>
      </c>
      <c r="DZ3" s="399">
        <v>0</v>
      </c>
      <c r="EA3" s="399">
        <v>0</v>
      </c>
      <c r="EB3" s="399">
        <v>0</v>
      </c>
      <c r="EC3" s="399">
        <v>-43502.078488317231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229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2338</v>
      </c>
      <c r="C4" s="399" t="s">
        <v>2336</v>
      </c>
      <c r="D4" s="399" t="s">
        <v>1819</v>
      </c>
      <c r="E4" s="399" t="s">
        <v>887</v>
      </c>
      <c r="F4" s="399" t="s">
        <v>887</v>
      </c>
      <c r="G4" s="399" t="s">
        <v>1237</v>
      </c>
      <c r="H4" s="399" t="s">
        <v>1237</v>
      </c>
      <c r="I4" s="399" t="s">
        <v>1237</v>
      </c>
      <c r="J4" s="399" t="s">
        <v>2337</v>
      </c>
      <c r="K4" s="788">
        <v>44440</v>
      </c>
      <c r="L4" s="399">
        <v>0</v>
      </c>
      <c r="M4" s="399">
        <v>0</v>
      </c>
      <c r="N4" s="399">
        <v>-1.069</v>
      </c>
      <c r="O4" s="399">
        <v>-1.069</v>
      </c>
      <c r="P4" s="399">
        <v>-1.069</v>
      </c>
      <c r="Q4" s="399">
        <v>-1.069</v>
      </c>
      <c r="R4" s="399"/>
      <c r="S4" s="399">
        <v>707.13</v>
      </c>
      <c r="T4" s="399">
        <v>119.97</v>
      </c>
      <c r="U4" s="399"/>
      <c r="V4" s="399">
        <v>-884.16989999999998</v>
      </c>
      <c r="W4" s="399">
        <v>-884.16989999999998</v>
      </c>
      <c r="X4" s="399">
        <v>-779.33306999999991</v>
      </c>
      <c r="Y4" s="399">
        <v>0</v>
      </c>
      <c r="Z4" s="399">
        <v>-65.096626269012518</v>
      </c>
      <c r="AA4" s="399">
        <v>0</v>
      </c>
      <c r="AB4" s="399">
        <v>0</v>
      </c>
      <c r="AC4" s="399">
        <v>0</v>
      </c>
      <c r="AD4" s="399">
        <v>-114.95941634744169</v>
      </c>
      <c r="AE4" s="399">
        <v>-544.50899212163313</v>
      </c>
      <c r="AF4" s="399">
        <v>-128.2520377111025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-10.05953149656761</v>
      </c>
      <c r="AM4" s="399"/>
      <c r="AN4" s="399">
        <v>-2.2997383650401226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-18.998710038374952</v>
      </c>
      <c r="BH4" s="399">
        <v>0</v>
      </c>
      <c r="BI4" s="399">
        <v>0</v>
      </c>
      <c r="BJ4" s="399">
        <v>0</v>
      </c>
      <c r="BK4" s="399">
        <v>-274.89999999999998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-147.25074774947745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-780.0621000000001</v>
      </c>
      <c r="CJ4" s="399">
        <v>104.07779999999991</v>
      </c>
      <c r="CK4" s="399"/>
      <c r="CL4" s="399"/>
      <c r="CM4" s="399"/>
      <c r="CN4" s="399"/>
      <c r="CO4" s="399">
        <v>104.83683000000005</v>
      </c>
      <c r="CP4" s="399">
        <v>0</v>
      </c>
      <c r="CQ4" s="399">
        <v>30</v>
      </c>
      <c r="CR4" s="399">
        <v>8.0798481233393886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0.61505355665210004</v>
      </c>
      <c r="DA4" s="399">
        <v>0</v>
      </c>
      <c r="DB4" s="399">
        <v>0</v>
      </c>
      <c r="DC4" s="399">
        <v>0</v>
      </c>
      <c r="DD4" s="399">
        <v>0</v>
      </c>
      <c r="DE4" s="399">
        <v>0</v>
      </c>
      <c r="DF4" s="399">
        <v>0</v>
      </c>
      <c r="DG4" s="399">
        <v>0</v>
      </c>
      <c r="DH4" s="399">
        <v>0</v>
      </c>
      <c r="DI4" s="399">
        <v>6.4173728726041901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0.8572562181761807</v>
      </c>
      <c r="DP4" s="399">
        <v>0.1901654759069662</v>
      </c>
      <c r="DQ4" s="399">
        <v>0</v>
      </c>
      <c r="DR4" s="399">
        <v>0</v>
      </c>
      <c r="DS4" s="399"/>
      <c r="DT4" s="399"/>
      <c r="DU4" s="399"/>
      <c r="DV4" s="399">
        <v>-544.50899212163313</v>
      </c>
      <c r="DW4" s="399">
        <v>0</v>
      </c>
      <c r="DX4" s="399">
        <v>0</v>
      </c>
      <c r="DY4" s="399">
        <v>104.83683000000008</v>
      </c>
      <c r="DZ4" s="399">
        <v>0</v>
      </c>
      <c r="EA4" s="399">
        <v>0</v>
      </c>
      <c r="EB4" s="399">
        <v>0</v>
      </c>
      <c r="EC4" s="399">
        <v>96.755963339729988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229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2339</v>
      </c>
      <c r="C5" s="399" t="s">
        <v>2336</v>
      </c>
      <c r="D5" s="399" t="s">
        <v>1819</v>
      </c>
      <c r="E5" s="399" t="s">
        <v>887</v>
      </c>
      <c r="F5" s="399" t="s">
        <v>887</v>
      </c>
      <c r="G5" s="399" t="s">
        <v>1237</v>
      </c>
      <c r="H5" s="399" t="s">
        <v>1237</v>
      </c>
      <c r="I5" s="399" t="s">
        <v>1237</v>
      </c>
      <c r="J5" s="399" t="s">
        <v>2337</v>
      </c>
      <c r="K5" s="788">
        <v>44440</v>
      </c>
      <c r="L5" s="399">
        <v>0</v>
      </c>
      <c r="M5" s="399">
        <v>0</v>
      </c>
      <c r="N5" s="399">
        <v>7.1079999999999997</v>
      </c>
      <c r="O5" s="399">
        <v>7.1079999999999997</v>
      </c>
      <c r="P5" s="399">
        <v>7.1079999999999997</v>
      </c>
      <c r="Q5" s="399">
        <v>7.1079999999999997</v>
      </c>
      <c r="R5" s="399"/>
      <c r="S5" s="399">
        <v>707.13</v>
      </c>
      <c r="T5" s="399">
        <v>119.97</v>
      </c>
      <c r="U5" s="399"/>
      <c r="V5" s="399">
        <v>5879.0267999999996</v>
      </c>
      <c r="W5" s="399">
        <v>5879.0267999999996</v>
      </c>
      <c r="X5" s="399">
        <v>5181.9452399999991</v>
      </c>
      <c r="Y5" s="399">
        <v>0</v>
      </c>
      <c r="Z5" s="399">
        <v>432.84080404129185</v>
      </c>
      <c r="AA5" s="399">
        <v>0</v>
      </c>
      <c r="AB5" s="399">
        <v>0</v>
      </c>
      <c r="AC5" s="399">
        <v>0</v>
      </c>
      <c r="AD5" s="399">
        <v>764.38871038130549</v>
      </c>
      <c r="AE5" s="399">
        <v>3620.5518391024962</v>
      </c>
      <c r="AF5" s="399">
        <v>852.77407301264407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66.887885760152074</v>
      </c>
      <c r="AM5" s="399"/>
      <c r="AN5" s="399">
        <v>15.291431523578291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126.32631520371297</v>
      </c>
      <c r="BH5" s="399">
        <v>0</v>
      </c>
      <c r="BI5" s="399">
        <v>0</v>
      </c>
      <c r="BJ5" s="399">
        <v>0</v>
      </c>
      <c r="BK5" s="399">
        <v>2656.78</v>
      </c>
      <c r="BL5" s="399">
        <v>19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979.10038821635703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5183.4032999999999</v>
      </c>
      <c r="CJ5" s="399">
        <v>-695.65350000000035</v>
      </c>
      <c r="CK5" s="399"/>
      <c r="CL5" s="399"/>
      <c r="CM5" s="399"/>
      <c r="CN5" s="399"/>
      <c r="CO5" s="399">
        <v>-697.08156000000031</v>
      </c>
      <c r="CP5" s="399">
        <v>0</v>
      </c>
      <c r="CQ5" s="399">
        <v>30</v>
      </c>
      <c r="CR5" s="399">
        <v>-53.724565444993004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-4.0896171007326529</v>
      </c>
      <c r="DA5" s="399">
        <v>0</v>
      </c>
      <c r="DB5" s="399">
        <v>0</v>
      </c>
      <c r="DC5" s="399">
        <v>0</v>
      </c>
      <c r="DD5" s="399">
        <v>0</v>
      </c>
      <c r="DE5" s="399">
        <v>0</v>
      </c>
      <c r="DF5" s="399">
        <v>0</v>
      </c>
      <c r="DG5" s="399">
        <v>0</v>
      </c>
      <c r="DH5" s="399">
        <v>0</v>
      </c>
      <c r="DI5" s="399">
        <v>-42.670426920926673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-5.7000722158992474</v>
      </c>
      <c r="DP5" s="399">
        <v>-1.2644492074337865</v>
      </c>
      <c r="DQ5" s="399">
        <v>0</v>
      </c>
      <c r="DR5" s="399">
        <v>0</v>
      </c>
      <c r="DS5" s="399"/>
      <c r="DT5" s="399"/>
      <c r="DU5" s="399"/>
      <c r="DV5" s="399">
        <v>3620.5518391024962</v>
      </c>
      <c r="DW5" s="399">
        <v>0</v>
      </c>
      <c r="DX5" s="399">
        <v>0</v>
      </c>
      <c r="DY5" s="399">
        <v>-697.08156000000054</v>
      </c>
      <c r="DZ5" s="399">
        <v>0</v>
      </c>
      <c r="EA5" s="399">
        <v>0</v>
      </c>
      <c r="EB5" s="399">
        <v>0</v>
      </c>
      <c r="EC5" s="399">
        <v>-643.35022209429462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229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954</v>
      </c>
      <c r="C6" s="399" t="s">
        <v>2336</v>
      </c>
      <c r="D6" s="399" t="s">
        <v>1819</v>
      </c>
      <c r="E6" s="399" t="s">
        <v>887</v>
      </c>
      <c r="F6" s="399" t="s">
        <v>2340</v>
      </c>
      <c r="G6" s="399" t="s">
        <v>1237</v>
      </c>
      <c r="H6" s="399" t="s">
        <v>1237</v>
      </c>
      <c r="I6" s="399" t="s">
        <v>1237</v>
      </c>
      <c r="J6" s="399" t="s">
        <v>2337</v>
      </c>
      <c r="K6" s="788">
        <v>44440</v>
      </c>
      <c r="L6" s="399">
        <v>0</v>
      </c>
      <c r="M6" s="399">
        <v>0</v>
      </c>
      <c r="N6" s="399">
        <v>3.93</v>
      </c>
      <c r="O6" s="399">
        <v>3.93</v>
      </c>
      <c r="P6" s="399">
        <v>3.93</v>
      </c>
      <c r="Q6" s="399">
        <v>3.93</v>
      </c>
      <c r="R6" s="399"/>
      <c r="S6" s="399">
        <v>636.83000000000004</v>
      </c>
      <c r="T6" s="399">
        <v>119.97</v>
      </c>
      <c r="U6" s="399"/>
      <c r="V6" s="399">
        <v>2974.2240000000006</v>
      </c>
      <c r="W6" s="399">
        <v>2974.2240000000006</v>
      </c>
      <c r="X6" s="399">
        <v>2615.5329000000002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422.62909845224124</v>
      </c>
      <c r="AE6" s="399">
        <v>2001.796388248848</v>
      </c>
      <c r="AF6" s="399">
        <v>471.49720131396896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8.4546040922429224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69.845585080274617</v>
      </c>
      <c r="BH6" s="399">
        <v>0</v>
      </c>
      <c r="BI6" s="399">
        <v>0</v>
      </c>
      <c r="BJ6" s="399">
        <v>0</v>
      </c>
      <c r="BK6" s="399">
        <v>118.28</v>
      </c>
      <c r="BL6" s="399">
        <v>13</v>
      </c>
      <c r="BM6" s="399"/>
      <c r="BN6" s="399"/>
      <c r="BO6" s="399"/>
      <c r="BP6" s="399"/>
      <c r="BQ6" s="399"/>
      <c r="BR6" s="399"/>
      <c r="BS6" s="399"/>
      <c r="BT6" s="399">
        <v>1700.0786999999998</v>
      </c>
      <c r="BU6" s="399"/>
      <c r="BV6" s="399">
        <v>541.3427863942436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915.45420000000001</v>
      </c>
      <c r="CJ6" s="399">
        <v>-125.55419999999992</v>
      </c>
      <c r="CK6" s="399"/>
      <c r="CL6" s="399"/>
      <c r="CM6" s="399"/>
      <c r="CN6" s="399"/>
      <c r="CO6" s="399">
        <v>-358.6911000000004</v>
      </c>
      <c r="CP6" s="399">
        <v>0</v>
      </c>
      <c r="CQ6" s="399">
        <v>30</v>
      </c>
      <c r="CR6" s="399">
        <v>-2.9602533189496398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-2.2611417003206498</v>
      </c>
      <c r="DA6" s="399">
        <v>0</v>
      </c>
      <c r="DB6" s="399">
        <v>0</v>
      </c>
      <c r="DC6" s="399">
        <v>0</v>
      </c>
      <c r="DD6" s="399">
        <v>0</v>
      </c>
      <c r="DE6" s="399">
        <v>0</v>
      </c>
      <c r="DF6" s="399">
        <v>0</v>
      </c>
      <c r="DG6" s="399">
        <v>0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-0.69911161862897941</v>
      </c>
      <c r="DQ6" s="399">
        <v>0</v>
      </c>
      <c r="DR6" s="399">
        <v>0</v>
      </c>
      <c r="DS6" s="399"/>
      <c r="DT6" s="399"/>
      <c r="DU6" s="399"/>
      <c r="DV6" s="399">
        <v>2001.796388248848</v>
      </c>
      <c r="DW6" s="399">
        <v>0</v>
      </c>
      <c r="DX6" s="399">
        <v>0</v>
      </c>
      <c r="DY6" s="399">
        <v>-358.69110000000046</v>
      </c>
      <c r="DZ6" s="399">
        <v>0</v>
      </c>
      <c r="EA6" s="399">
        <v>0</v>
      </c>
      <c r="EB6" s="399">
        <v>0</v>
      </c>
      <c r="EC6" s="399">
        <v>-355.70714305438651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229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954</v>
      </c>
      <c r="C7" s="399" t="s">
        <v>2336</v>
      </c>
      <c r="D7" s="399" t="s">
        <v>1819</v>
      </c>
      <c r="E7" s="399" t="s">
        <v>887</v>
      </c>
      <c r="F7" s="399" t="s">
        <v>2341</v>
      </c>
      <c r="G7" s="399" t="s">
        <v>1237</v>
      </c>
      <c r="H7" s="399" t="s">
        <v>1237</v>
      </c>
      <c r="I7" s="399" t="s">
        <v>1237</v>
      </c>
      <c r="J7" s="399" t="s">
        <v>2337</v>
      </c>
      <c r="K7" s="788">
        <v>44440</v>
      </c>
      <c r="L7" s="399">
        <v>0</v>
      </c>
      <c r="M7" s="399">
        <v>0</v>
      </c>
      <c r="N7" s="399">
        <v>7.4210000000000003</v>
      </c>
      <c r="O7" s="399">
        <v>7.4210000000000003</v>
      </c>
      <c r="P7" s="399">
        <v>7.4210000000000003</v>
      </c>
      <c r="Q7" s="399">
        <v>7.4210000000000003</v>
      </c>
      <c r="R7" s="399"/>
      <c r="S7" s="399">
        <v>636.83000000000004</v>
      </c>
      <c r="T7" s="399">
        <v>119.97</v>
      </c>
      <c r="U7" s="399"/>
      <c r="V7" s="399">
        <v>5616.2128000000012</v>
      </c>
      <c r="W7" s="399">
        <v>5616.2128000000012</v>
      </c>
      <c r="X7" s="399">
        <v>4938.8981299999996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798.04848336236194</v>
      </c>
      <c r="AE7" s="399">
        <v>3779.9824420342752</v>
      </c>
      <c r="AF7" s="399">
        <v>890.32588573815872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15.964788032706036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131.88908063122594</v>
      </c>
      <c r="BH7" s="399">
        <v>0</v>
      </c>
      <c r="BI7" s="399">
        <v>0</v>
      </c>
      <c r="BJ7" s="399">
        <v>0</v>
      </c>
      <c r="BK7" s="399">
        <v>389.82</v>
      </c>
      <c r="BL7" s="399">
        <v>28</v>
      </c>
      <c r="BM7" s="399"/>
      <c r="BN7" s="399"/>
      <c r="BO7" s="399"/>
      <c r="BP7" s="399"/>
      <c r="BQ7" s="399"/>
      <c r="BR7" s="399"/>
      <c r="BS7" s="399"/>
      <c r="BT7" s="399">
        <v>1975.54441</v>
      </c>
      <c r="BU7" s="399"/>
      <c r="BV7" s="399">
        <v>1022.2149663693847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2962.9543999999996</v>
      </c>
      <c r="CJ7" s="399">
        <v>-406.803280000001</v>
      </c>
      <c r="CK7" s="399"/>
      <c r="CL7" s="399"/>
      <c r="CM7" s="399"/>
      <c r="CN7" s="399"/>
      <c r="CO7" s="399">
        <v>-677.31467000000077</v>
      </c>
      <c r="CP7" s="399">
        <v>0</v>
      </c>
      <c r="CQ7" s="399">
        <v>30</v>
      </c>
      <c r="CR7" s="399">
        <v>-5.5898320305157085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-4.2697029409872584</v>
      </c>
      <c r="DA7" s="399">
        <v>0</v>
      </c>
      <c r="DB7" s="399">
        <v>0</v>
      </c>
      <c r="DC7" s="399">
        <v>0</v>
      </c>
      <c r="DD7" s="399">
        <v>0</v>
      </c>
      <c r="DE7" s="399">
        <v>0</v>
      </c>
      <c r="DF7" s="399">
        <v>0</v>
      </c>
      <c r="DG7" s="399">
        <v>0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-1.3201290895281552</v>
      </c>
      <c r="DQ7" s="399">
        <v>0</v>
      </c>
      <c r="DR7" s="399">
        <v>0</v>
      </c>
      <c r="DS7" s="399"/>
      <c r="DT7" s="399"/>
      <c r="DU7" s="399"/>
      <c r="DV7" s="399">
        <v>3779.9824420342752</v>
      </c>
      <c r="DW7" s="399">
        <v>0</v>
      </c>
      <c r="DX7" s="399">
        <v>0</v>
      </c>
      <c r="DY7" s="399">
        <v>-677.31467000000112</v>
      </c>
      <c r="DZ7" s="399">
        <v>0</v>
      </c>
      <c r="EA7" s="399">
        <v>0</v>
      </c>
      <c r="EB7" s="399">
        <v>0</v>
      </c>
      <c r="EC7" s="399">
        <v>-671.68007852585288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229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954</v>
      </c>
      <c r="C8" s="399" t="s">
        <v>2336</v>
      </c>
      <c r="D8" s="399" t="s">
        <v>1819</v>
      </c>
      <c r="E8" s="399" t="s">
        <v>887</v>
      </c>
      <c r="F8" s="399" t="s">
        <v>2342</v>
      </c>
      <c r="G8" s="399" t="s">
        <v>1237</v>
      </c>
      <c r="H8" s="399" t="s">
        <v>1237</v>
      </c>
      <c r="I8" s="399" t="s">
        <v>1237</v>
      </c>
      <c r="J8" s="399" t="s">
        <v>2337</v>
      </c>
      <c r="K8" s="788">
        <v>44440</v>
      </c>
      <c r="L8" s="399">
        <v>0</v>
      </c>
      <c r="M8" s="399">
        <v>0</v>
      </c>
      <c r="N8" s="399">
        <v>6.57</v>
      </c>
      <c r="O8" s="399">
        <v>6.57</v>
      </c>
      <c r="P8" s="399">
        <v>6.57</v>
      </c>
      <c r="Q8" s="399">
        <v>6.57</v>
      </c>
      <c r="R8" s="399"/>
      <c r="S8" s="399">
        <v>636.83000000000004</v>
      </c>
      <c r="T8" s="399">
        <v>119.97</v>
      </c>
      <c r="U8" s="399"/>
      <c r="V8" s="399">
        <v>4972.1760000000004</v>
      </c>
      <c r="W8" s="399">
        <v>4972.1760000000004</v>
      </c>
      <c r="X8" s="399">
        <v>4372.5320999999994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706.53261496977734</v>
      </c>
      <c r="AE8" s="399">
        <v>3346.5145727213567</v>
      </c>
      <c r="AF8" s="399">
        <v>788.22814570808555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14.134032795429006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116.76475673725298</v>
      </c>
      <c r="BH8" s="399">
        <v>0</v>
      </c>
      <c r="BI8" s="399">
        <v>0</v>
      </c>
      <c r="BJ8" s="399">
        <v>0</v>
      </c>
      <c r="BK8" s="399">
        <v>922.98</v>
      </c>
      <c r="BL8" s="399">
        <v>64</v>
      </c>
      <c r="BM8" s="399"/>
      <c r="BN8" s="399"/>
      <c r="BO8" s="399"/>
      <c r="BP8" s="399"/>
      <c r="BQ8" s="399"/>
      <c r="BR8" s="399"/>
      <c r="BS8" s="399"/>
      <c r="BT8" s="399">
        <v>437.16779999999972</v>
      </c>
      <c r="BU8" s="399"/>
      <c r="BV8" s="399">
        <v>904.99290244533859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3935.3643000000002</v>
      </c>
      <c r="CJ8" s="399">
        <v>-539.62410000000091</v>
      </c>
      <c r="CK8" s="399"/>
      <c r="CL8" s="399"/>
      <c r="CM8" s="399"/>
      <c r="CN8" s="399"/>
      <c r="CO8" s="399">
        <v>-599.6439000000006</v>
      </c>
      <c r="CP8" s="399">
        <v>0</v>
      </c>
      <c r="CQ8" s="399">
        <v>30</v>
      </c>
      <c r="CR8" s="399">
        <v>-4.9488204339693311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-3.7800765829788361</v>
      </c>
      <c r="DA8" s="399">
        <v>0</v>
      </c>
      <c r="DB8" s="399">
        <v>0</v>
      </c>
      <c r="DC8" s="399">
        <v>0</v>
      </c>
      <c r="DD8" s="399">
        <v>0</v>
      </c>
      <c r="DE8" s="399">
        <v>0</v>
      </c>
      <c r="DF8" s="399">
        <v>0</v>
      </c>
      <c r="DG8" s="399">
        <v>0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-1.1687438509904293</v>
      </c>
      <c r="DQ8" s="399">
        <v>0</v>
      </c>
      <c r="DR8" s="399">
        <v>0</v>
      </c>
      <c r="DS8" s="399"/>
      <c r="DT8" s="399"/>
      <c r="DU8" s="399"/>
      <c r="DV8" s="399">
        <v>3346.5145727213567</v>
      </c>
      <c r="DW8" s="399">
        <v>0</v>
      </c>
      <c r="DX8" s="399">
        <v>0</v>
      </c>
      <c r="DY8" s="399">
        <v>-599.64390000000049</v>
      </c>
      <c r="DZ8" s="399">
        <v>0</v>
      </c>
      <c r="EA8" s="399">
        <v>0</v>
      </c>
      <c r="EB8" s="399">
        <v>0</v>
      </c>
      <c r="EC8" s="399">
        <v>-594.65545289244756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229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954</v>
      </c>
      <c r="C9" s="399" t="s">
        <v>2336</v>
      </c>
      <c r="D9" s="399" t="s">
        <v>1819</v>
      </c>
      <c r="E9" s="399" t="s">
        <v>887</v>
      </c>
      <c r="F9" s="399" t="s">
        <v>2343</v>
      </c>
      <c r="G9" s="399" t="s">
        <v>1237</v>
      </c>
      <c r="H9" s="399" t="s">
        <v>1237</v>
      </c>
      <c r="I9" s="399" t="s">
        <v>1237</v>
      </c>
      <c r="J9" s="399" t="s">
        <v>2337</v>
      </c>
      <c r="K9" s="788">
        <v>44440</v>
      </c>
      <c r="L9" s="399">
        <v>0</v>
      </c>
      <c r="M9" s="399">
        <v>0</v>
      </c>
      <c r="N9" s="399">
        <v>1.62</v>
      </c>
      <c r="O9" s="399">
        <v>1.62</v>
      </c>
      <c r="P9" s="399">
        <v>1.62</v>
      </c>
      <c r="Q9" s="399">
        <v>1.62</v>
      </c>
      <c r="R9" s="399"/>
      <c r="S9" s="399">
        <v>636.83000000000004</v>
      </c>
      <c r="T9" s="399">
        <v>119.97</v>
      </c>
      <c r="U9" s="399"/>
      <c r="V9" s="399">
        <v>1226.0160000000001</v>
      </c>
      <c r="W9" s="399">
        <v>1226.0160000000001</v>
      </c>
      <c r="X9" s="399">
        <v>1078.1586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174.21352149939716</v>
      </c>
      <c r="AE9" s="399">
        <v>825.16797683540301</v>
      </c>
      <c r="AF9" s="399">
        <v>194.35762496911698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3.4851039769550978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28.791309880418545</v>
      </c>
      <c r="BH9" s="399">
        <v>0</v>
      </c>
      <c r="BI9" s="399">
        <v>0</v>
      </c>
      <c r="BJ9" s="399">
        <v>0</v>
      </c>
      <c r="BK9" s="399">
        <v>462.1</v>
      </c>
      <c r="BL9" s="399">
        <v>26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223.14893484953552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1078.1586</v>
      </c>
      <c r="CJ9" s="399">
        <v>-147.88740000000007</v>
      </c>
      <c r="CK9" s="399"/>
      <c r="CL9" s="399"/>
      <c r="CM9" s="399"/>
      <c r="CN9" s="399"/>
      <c r="CO9" s="399">
        <v>-147.85740000000015</v>
      </c>
      <c r="CP9" s="399">
        <v>0</v>
      </c>
      <c r="CQ9" s="399">
        <v>30</v>
      </c>
      <c r="CR9" s="399">
        <v>-1.2202570933075094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-0.93207367799476515</v>
      </c>
      <c r="DA9" s="399">
        <v>0</v>
      </c>
      <c r="DB9" s="399">
        <v>0</v>
      </c>
      <c r="DC9" s="399">
        <v>0</v>
      </c>
      <c r="DD9" s="399">
        <v>0</v>
      </c>
      <c r="DE9" s="399">
        <v>0</v>
      </c>
      <c r="DF9" s="399">
        <v>0</v>
      </c>
      <c r="DG9" s="399">
        <v>0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-0.28818341531270875</v>
      </c>
      <c r="DQ9" s="399">
        <v>0</v>
      </c>
      <c r="DR9" s="399">
        <v>0</v>
      </c>
      <c r="DS9" s="399"/>
      <c r="DT9" s="399"/>
      <c r="DU9" s="399"/>
      <c r="DV9" s="399">
        <v>825.16797683540301</v>
      </c>
      <c r="DW9" s="399">
        <v>0</v>
      </c>
      <c r="DX9" s="399">
        <v>0</v>
      </c>
      <c r="DY9" s="399">
        <v>-147.8574000000001</v>
      </c>
      <c r="DZ9" s="399">
        <v>0</v>
      </c>
      <c r="EA9" s="399">
        <v>0</v>
      </c>
      <c r="EB9" s="399">
        <v>0</v>
      </c>
      <c r="EC9" s="399">
        <v>-146.62737194608292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229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954</v>
      </c>
      <c r="C10" s="399" t="s">
        <v>2336</v>
      </c>
      <c r="D10" s="399" t="s">
        <v>1822</v>
      </c>
      <c r="E10" s="399" t="s">
        <v>888</v>
      </c>
      <c r="F10" s="399" t="s">
        <v>1237</v>
      </c>
      <c r="G10" s="399" t="s">
        <v>1237</v>
      </c>
      <c r="H10" s="399" t="s">
        <v>1237</v>
      </c>
      <c r="I10" s="399" t="s">
        <v>1237</v>
      </c>
      <c r="J10" s="399" t="s">
        <v>2337</v>
      </c>
      <c r="K10" s="788">
        <v>44440</v>
      </c>
      <c r="L10" s="399">
        <v>0</v>
      </c>
      <c r="M10" s="399">
        <v>0</v>
      </c>
      <c r="N10" s="399">
        <v>127.378</v>
      </c>
      <c r="O10" s="399">
        <v>127.378</v>
      </c>
      <c r="P10" s="399">
        <v>127.378</v>
      </c>
      <c r="Q10" s="399">
        <v>127.378</v>
      </c>
      <c r="R10" s="399"/>
      <c r="S10" s="399">
        <v>707.13</v>
      </c>
      <c r="T10" s="399">
        <v>119.97</v>
      </c>
      <c r="U10" s="399"/>
      <c r="V10" s="399">
        <v>105354.3438</v>
      </c>
      <c r="W10" s="399">
        <v>105354.3438</v>
      </c>
      <c r="X10" s="399">
        <v>92862.38334</v>
      </c>
      <c r="Y10" s="399">
        <v>0</v>
      </c>
      <c r="Z10" s="399">
        <v>7756.6679709020373</v>
      </c>
      <c r="AA10" s="399">
        <v>0</v>
      </c>
      <c r="AB10" s="399">
        <v>0</v>
      </c>
      <c r="AC10" s="399">
        <v>0</v>
      </c>
      <c r="AD10" s="399">
        <v>13698.129593549513</v>
      </c>
      <c r="AE10" s="399">
        <v>64881.633674901212</v>
      </c>
      <c r="AF10" s="399">
        <v>15282.028119330977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1198.6557558183247</v>
      </c>
      <c r="AM10" s="399"/>
      <c r="AN10" s="399">
        <v>274.02813233122617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2263.8144876221932</v>
      </c>
      <c r="BH10" s="399">
        <v>0</v>
      </c>
      <c r="BI10" s="399">
        <v>0</v>
      </c>
      <c r="BJ10" s="399">
        <v>0</v>
      </c>
      <c r="BK10" s="399">
        <v>35002.97</v>
      </c>
      <c r="BL10" s="399">
        <v>70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17545.842606953171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92863.84139999999</v>
      </c>
      <c r="CJ10" s="399">
        <v>-12490.532399999996</v>
      </c>
      <c r="CK10" s="399"/>
      <c r="CL10" s="399"/>
      <c r="CM10" s="399"/>
      <c r="CN10" s="399"/>
      <c r="CO10" s="399">
        <v>-12491.960460000006</v>
      </c>
      <c r="CP10" s="399">
        <v>0</v>
      </c>
      <c r="CQ10" s="399">
        <v>30</v>
      </c>
      <c r="CR10" s="399">
        <v>-962.76416674904613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-73.287457380012711</v>
      </c>
      <c r="DA10" s="399">
        <v>0</v>
      </c>
      <c r="DB10" s="399">
        <v>0</v>
      </c>
      <c r="DC10" s="399">
        <v>0</v>
      </c>
      <c r="DD10" s="399">
        <v>0</v>
      </c>
      <c r="DE10" s="399">
        <v>0</v>
      </c>
      <c r="DF10" s="399">
        <v>0</v>
      </c>
      <c r="DG10" s="399">
        <v>0</v>
      </c>
      <c r="DH10" s="399">
        <v>0</v>
      </c>
      <c r="DI10" s="399">
        <v>-764.66989875264517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-102.14741118694633</v>
      </c>
      <c r="DP10" s="399">
        <v>-22.659399429445813</v>
      </c>
      <c r="DQ10" s="399">
        <v>0</v>
      </c>
      <c r="DR10" s="399">
        <v>0</v>
      </c>
      <c r="DS10" s="399"/>
      <c r="DT10" s="399"/>
      <c r="DU10" s="399"/>
      <c r="DV10" s="399">
        <v>64881.633674901212</v>
      </c>
      <c r="DW10" s="399">
        <v>0</v>
      </c>
      <c r="DX10" s="399">
        <v>0</v>
      </c>
      <c r="DY10" s="399">
        <v>-12491.960460000002</v>
      </c>
      <c r="DZ10" s="399">
        <v>0</v>
      </c>
      <c r="EA10" s="399">
        <v>0</v>
      </c>
      <c r="EB10" s="399">
        <v>0</v>
      </c>
      <c r="EC10" s="399">
        <v>-11529.074928239606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229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2339</v>
      </c>
      <c r="C11" s="399" t="s">
        <v>2336</v>
      </c>
      <c r="D11" s="399" t="s">
        <v>1822</v>
      </c>
      <c r="E11" s="399" t="s">
        <v>888</v>
      </c>
      <c r="F11" s="399" t="s">
        <v>1237</v>
      </c>
      <c r="G11" s="399" t="s">
        <v>1237</v>
      </c>
      <c r="H11" s="399" t="s">
        <v>1237</v>
      </c>
      <c r="I11" s="399" t="s">
        <v>1237</v>
      </c>
      <c r="J11" s="399" t="s">
        <v>2337</v>
      </c>
      <c r="K11" s="788">
        <v>44440</v>
      </c>
      <c r="L11" s="399">
        <v>0</v>
      </c>
      <c r="M11" s="399">
        <v>0</v>
      </c>
      <c r="N11" s="399">
        <v>9.3699999999999992</v>
      </c>
      <c r="O11" s="399">
        <v>9.3699999999999992</v>
      </c>
      <c r="P11" s="399">
        <v>9.3699999999999992</v>
      </c>
      <c r="Q11" s="399">
        <v>9.3699999999999992</v>
      </c>
      <c r="R11" s="399"/>
      <c r="S11" s="399">
        <v>707.13</v>
      </c>
      <c r="T11" s="399">
        <v>119.97</v>
      </c>
      <c r="U11" s="399"/>
      <c r="V11" s="399">
        <v>7749.9269999999997</v>
      </c>
      <c r="W11" s="399">
        <v>7749.9269999999997</v>
      </c>
      <c r="X11" s="399">
        <v>6831.0110999999997</v>
      </c>
      <c r="Y11" s="399">
        <v>0</v>
      </c>
      <c r="Z11" s="399">
        <v>570.58502164700406</v>
      </c>
      <c r="AA11" s="399">
        <v>0</v>
      </c>
      <c r="AB11" s="399">
        <v>0</v>
      </c>
      <c r="AC11" s="399">
        <v>0</v>
      </c>
      <c r="AD11" s="399">
        <v>1007.6424052156489</v>
      </c>
      <c r="AE11" s="399">
        <v>4772.7308289800776</v>
      </c>
      <c r="AF11" s="399">
        <v>1124.1549049139667</v>
      </c>
      <c r="AG11" s="399">
        <v>0</v>
      </c>
      <c r="AH11" s="399">
        <v>0</v>
      </c>
      <c r="AI11" s="399">
        <v>0</v>
      </c>
      <c r="AJ11" s="399">
        <v>0</v>
      </c>
      <c r="AK11" s="399">
        <v>0</v>
      </c>
      <c r="AL11" s="399">
        <v>88.173816765985492</v>
      </c>
      <c r="AM11" s="399"/>
      <c r="AN11" s="399">
        <v>20.157669298808184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166.52751455526032</v>
      </c>
      <c r="BH11" s="399">
        <v>0</v>
      </c>
      <c r="BI11" s="399">
        <v>0</v>
      </c>
      <c r="BJ11" s="399">
        <v>0</v>
      </c>
      <c r="BK11" s="399">
        <v>2641.03</v>
      </c>
      <c r="BL11" s="399">
        <v>4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1290.6824194692269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6831.0110999999997</v>
      </c>
      <c r="CJ11" s="399">
        <v>-918.94590000000062</v>
      </c>
      <c r="CK11" s="399"/>
      <c r="CL11" s="399"/>
      <c r="CM11" s="399"/>
      <c r="CN11" s="399"/>
      <c r="CO11" s="399">
        <v>-918.91590000000042</v>
      </c>
      <c r="CP11" s="399">
        <v>0</v>
      </c>
      <c r="CQ11" s="399">
        <v>30</v>
      </c>
      <c r="CR11" s="399">
        <v>-70.821493840683615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-5.3910681251920778</v>
      </c>
      <c r="DA11" s="399">
        <v>0</v>
      </c>
      <c r="DB11" s="399">
        <v>0</v>
      </c>
      <c r="DC11" s="399">
        <v>0</v>
      </c>
      <c r="DD11" s="399">
        <v>0</v>
      </c>
      <c r="DE11" s="399">
        <v>0</v>
      </c>
      <c r="DF11" s="399">
        <v>0</v>
      </c>
      <c r="DG11" s="399">
        <v>0</v>
      </c>
      <c r="DH11" s="399">
        <v>0</v>
      </c>
      <c r="DI11" s="399">
        <v>-56.249563906736512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-7.5140231658660497</v>
      </c>
      <c r="DP11" s="399">
        <v>-1.666838642888937</v>
      </c>
      <c r="DQ11" s="399">
        <v>0</v>
      </c>
      <c r="DR11" s="399">
        <v>0</v>
      </c>
      <c r="DS11" s="399"/>
      <c r="DT11" s="399"/>
      <c r="DU11" s="399"/>
      <c r="DV11" s="399">
        <v>4772.7308289800776</v>
      </c>
      <c r="DW11" s="399">
        <v>0</v>
      </c>
      <c r="DX11" s="399">
        <v>0</v>
      </c>
      <c r="DY11" s="399">
        <v>-918.91589999999997</v>
      </c>
      <c r="DZ11" s="399">
        <v>0</v>
      </c>
      <c r="EA11" s="399">
        <v>0</v>
      </c>
      <c r="EB11" s="399">
        <v>0</v>
      </c>
      <c r="EC11" s="399">
        <v>-848.08547847827003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229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954</v>
      </c>
      <c r="C12" s="399" t="s">
        <v>2344</v>
      </c>
      <c r="D12" s="399" t="s">
        <v>533</v>
      </c>
      <c r="E12" s="399" t="s">
        <v>888</v>
      </c>
      <c r="F12" s="399" t="s">
        <v>1237</v>
      </c>
      <c r="G12" s="399" t="s">
        <v>1237</v>
      </c>
      <c r="H12" s="399" t="s">
        <v>1237</v>
      </c>
      <c r="I12" s="399" t="s">
        <v>891</v>
      </c>
      <c r="J12" s="399" t="s">
        <v>2337</v>
      </c>
      <c r="K12" s="788">
        <v>44440</v>
      </c>
      <c r="L12" s="399">
        <v>0</v>
      </c>
      <c r="M12" s="399">
        <v>0</v>
      </c>
      <c r="N12" s="399">
        <v>102.54600000000001</v>
      </c>
      <c r="O12" s="399">
        <v>102.54600000000001</v>
      </c>
      <c r="P12" s="399">
        <v>102.54600000000001</v>
      </c>
      <c r="Q12" s="399">
        <v>102.54600000000001</v>
      </c>
      <c r="R12" s="399"/>
      <c r="S12" s="399">
        <v>3312.96</v>
      </c>
      <c r="T12" s="399">
        <v>119.97</v>
      </c>
      <c r="U12" s="399"/>
      <c r="V12" s="399">
        <v>352033.23978</v>
      </c>
      <c r="W12" s="399">
        <v>352033.23978</v>
      </c>
      <c r="X12" s="399">
        <v>305567.59626000002</v>
      </c>
      <c r="Y12" s="399">
        <v>0</v>
      </c>
      <c r="Z12" s="399">
        <v>5432.737899459752</v>
      </c>
      <c r="AA12" s="399">
        <v>0</v>
      </c>
      <c r="AB12" s="399">
        <v>0</v>
      </c>
      <c r="AC12" s="399">
        <v>0</v>
      </c>
      <c r="AD12" s="399">
        <v>76667.389354485989</v>
      </c>
      <c r="AE12" s="399">
        <v>255666.74489022602</v>
      </c>
      <c r="AF12" s="399">
        <v>12302.837660545105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964.98102604959979</v>
      </c>
      <c r="AM12" s="399"/>
      <c r="AN12" s="399">
        <v>86.213702908331939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913.05393598407431</v>
      </c>
      <c r="BH12" s="399">
        <v>0</v>
      </c>
      <c r="BI12" s="399">
        <v>0</v>
      </c>
      <c r="BJ12" s="399">
        <v>0</v>
      </c>
      <c r="BK12" s="399">
        <v>0</v>
      </c>
      <c r="BL12" s="399">
        <v>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13215.89159652918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305579.51549999998</v>
      </c>
      <c r="CJ12" s="399">
        <v>-46453.754280000052</v>
      </c>
      <c r="CK12" s="399"/>
      <c r="CL12" s="399"/>
      <c r="CM12" s="399"/>
      <c r="CN12" s="399"/>
      <c r="CO12" s="399">
        <v>-46465.643519999991</v>
      </c>
      <c r="CP12" s="399">
        <v>0</v>
      </c>
      <c r="CQ12" s="399">
        <v>30</v>
      </c>
      <c r="CR12" s="399">
        <v>-1035.1189945310471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-410.18432417251461</v>
      </c>
      <c r="DA12" s="399">
        <v>0</v>
      </c>
      <c r="DB12" s="399">
        <v>0</v>
      </c>
      <c r="DC12" s="399">
        <v>0</v>
      </c>
      <c r="DD12" s="399">
        <v>0</v>
      </c>
      <c r="DE12" s="399">
        <v>0</v>
      </c>
      <c r="DF12" s="399">
        <v>0</v>
      </c>
      <c r="DG12" s="399">
        <v>0</v>
      </c>
      <c r="DH12" s="399">
        <v>0</v>
      </c>
      <c r="DI12" s="399">
        <v>-535.57160821032448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-82.234046912155918</v>
      </c>
      <c r="DP12" s="399">
        <v>-7.129015236034661</v>
      </c>
      <c r="DQ12" s="399">
        <v>0</v>
      </c>
      <c r="DR12" s="399">
        <v>0</v>
      </c>
      <c r="DS12" s="399"/>
      <c r="DT12" s="399"/>
      <c r="DU12" s="399"/>
      <c r="DV12" s="399">
        <v>255666.74489022602</v>
      </c>
      <c r="DW12" s="399">
        <v>0</v>
      </c>
      <c r="DX12" s="399">
        <v>0</v>
      </c>
      <c r="DY12" s="399">
        <v>-46465.643519999983</v>
      </c>
      <c r="DZ12" s="399">
        <v>0</v>
      </c>
      <c r="EA12" s="399">
        <v>0</v>
      </c>
      <c r="EB12" s="399">
        <v>0</v>
      </c>
      <c r="EC12" s="399">
        <v>-45430.438346665207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229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954</v>
      </c>
      <c r="C13" s="399" t="s">
        <v>2344</v>
      </c>
      <c r="D13" s="399" t="s">
        <v>533</v>
      </c>
      <c r="E13" s="399" t="s">
        <v>888</v>
      </c>
      <c r="F13" s="399" t="s">
        <v>1237</v>
      </c>
      <c r="G13" s="399" t="s">
        <v>1237</v>
      </c>
      <c r="H13" s="399" t="s">
        <v>1237</v>
      </c>
      <c r="I13" s="399" t="s">
        <v>2322</v>
      </c>
      <c r="J13" s="399" t="s">
        <v>2337</v>
      </c>
      <c r="K13" s="788">
        <v>44440</v>
      </c>
      <c r="L13" s="399">
        <v>0</v>
      </c>
      <c r="M13" s="399">
        <v>0</v>
      </c>
      <c r="N13" s="399">
        <v>2450.712</v>
      </c>
      <c r="O13" s="399">
        <v>2450.712</v>
      </c>
      <c r="P13" s="399">
        <v>2450.712</v>
      </c>
      <c r="Q13" s="399">
        <v>2450.712</v>
      </c>
      <c r="R13" s="399"/>
      <c r="S13" s="399">
        <v>72.13</v>
      </c>
      <c r="T13" s="399">
        <v>119.97</v>
      </c>
      <c r="U13" s="399"/>
      <c r="V13" s="399">
        <v>470781.77519999997</v>
      </c>
      <c r="W13" s="399">
        <v>470781.77519999997</v>
      </c>
      <c r="X13" s="399">
        <v>455856.93912</v>
      </c>
      <c r="Y13" s="399">
        <v>0</v>
      </c>
      <c r="Z13" s="399">
        <v>129835.15654497306</v>
      </c>
      <c r="AA13" s="399">
        <v>0</v>
      </c>
      <c r="AB13" s="399">
        <v>0</v>
      </c>
      <c r="AC13" s="399">
        <v>0</v>
      </c>
      <c r="AD13" s="399">
        <v>0</v>
      </c>
      <c r="AE13" s="399">
        <v>0</v>
      </c>
      <c r="AF13" s="399">
        <v>294021.33568105841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23061.753557545555</v>
      </c>
      <c r="AM13" s="399"/>
      <c r="AN13" s="399">
        <v>2060.3919829333563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21820.765681385939</v>
      </c>
      <c r="BH13" s="399">
        <v>0</v>
      </c>
      <c r="BI13" s="399">
        <v>0</v>
      </c>
      <c r="BJ13" s="399">
        <v>0</v>
      </c>
      <c r="BK13" s="399">
        <v>0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315842.10136244434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455856.56709999999</v>
      </c>
      <c r="CJ13" s="399">
        <v>-14925.238100000017</v>
      </c>
      <c r="CK13" s="399"/>
      <c r="CL13" s="399"/>
      <c r="CM13" s="399"/>
      <c r="CN13" s="399"/>
      <c r="CO13" s="399">
        <v>-14924.836079999974</v>
      </c>
      <c r="CP13" s="399">
        <v>0</v>
      </c>
      <c r="CQ13" s="399">
        <v>30</v>
      </c>
      <c r="CR13" s="399">
        <v>-14935.101280046569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0</v>
      </c>
      <c r="DA13" s="399">
        <v>0</v>
      </c>
      <c r="DB13" s="399">
        <v>0</v>
      </c>
      <c r="DC13" s="399">
        <v>0</v>
      </c>
      <c r="DD13" s="399">
        <v>0</v>
      </c>
      <c r="DE13" s="399">
        <v>0</v>
      </c>
      <c r="DF13" s="399">
        <v>0</v>
      </c>
      <c r="DG13" s="399">
        <v>0</v>
      </c>
      <c r="DH13" s="399">
        <v>0</v>
      </c>
      <c r="DI13" s="399">
        <v>-12799.443831064491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-1965.2835369120512</v>
      </c>
      <c r="DP13" s="399">
        <v>-170.37391207002679</v>
      </c>
      <c r="DQ13" s="399">
        <v>0</v>
      </c>
      <c r="DR13" s="399">
        <v>0</v>
      </c>
      <c r="DS13" s="399"/>
      <c r="DT13" s="399"/>
      <c r="DU13" s="399"/>
      <c r="DV13" s="399">
        <v>0</v>
      </c>
      <c r="DW13" s="399">
        <v>0</v>
      </c>
      <c r="DX13" s="399">
        <v>0</v>
      </c>
      <c r="DY13" s="399">
        <v>-14924.836079999979</v>
      </c>
      <c r="DZ13" s="399">
        <v>0</v>
      </c>
      <c r="EA13" s="399">
        <v>0</v>
      </c>
      <c r="EB13" s="399">
        <v>0</v>
      </c>
      <c r="EC13" s="399">
        <v>0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229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954</v>
      </c>
      <c r="C14" s="399" t="s">
        <v>2344</v>
      </c>
      <c r="D14" s="399" t="s">
        <v>533</v>
      </c>
      <c r="E14" s="399" t="s">
        <v>888</v>
      </c>
      <c r="F14" s="399" t="s">
        <v>1237</v>
      </c>
      <c r="G14" s="399" t="s">
        <v>1237</v>
      </c>
      <c r="H14" s="399" t="s">
        <v>1237</v>
      </c>
      <c r="I14" s="399" t="s">
        <v>1237</v>
      </c>
      <c r="J14" s="399" t="s">
        <v>2337</v>
      </c>
      <c r="K14" s="788">
        <v>44440</v>
      </c>
      <c r="L14" s="399">
        <v>10772</v>
      </c>
      <c r="M14" s="399">
        <v>10772</v>
      </c>
      <c r="N14" s="399">
        <v>0</v>
      </c>
      <c r="O14" s="399">
        <v>0</v>
      </c>
      <c r="P14" s="399">
        <v>0</v>
      </c>
      <c r="Q14" s="399">
        <v>0</v>
      </c>
      <c r="R14" s="399">
        <v>46.29</v>
      </c>
      <c r="S14" s="399"/>
      <c r="T14" s="399"/>
      <c r="U14" s="399">
        <v>498635.88</v>
      </c>
      <c r="V14" s="399"/>
      <c r="W14" s="399">
        <v>498635.88</v>
      </c>
      <c r="X14" s="399">
        <v>443267.8</v>
      </c>
      <c r="Y14" s="399">
        <v>0</v>
      </c>
      <c r="Z14" s="399">
        <v>0</v>
      </c>
      <c r="AA14" s="399">
        <v>0</v>
      </c>
      <c r="AB14" s="399">
        <v>0</v>
      </c>
      <c r="AC14" s="399">
        <v>0</v>
      </c>
      <c r="AD14" s="399">
        <v>192958.96928751329</v>
      </c>
      <c r="AE14" s="399">
        <v>305638.56974864571</v>
      </c>
      <c r="AF14" s="399"/>
      <c r="AG14" s="399"/>
      <c r="AH14" s="399"/>
      <c r="AI14" s="399">
        <v>0</v>
      </c>
      <c r="AJ14" s="399">
        <v>0</v>
      </c>
      <c r="AK14" s="399">
        <v>0</v>
      </c>
      <c r="AL14" s="399">
        <v>0</v>
      </c>
      <c r="AM14" s="399"/>
      <c r="AN14" s="399">
        <v>0</v>
      </c>
      <c r="AO14" s="399">
        <v>0</v>
      </c>
      <c r="AP14" s="399">
        <v>0</v>
      </c>
      <c r="AQ14" s="399">
        <v>0</v>
      </c>
      <c r="AR14" s="399">
        <v>0</v>
      </c>
      <c r="AS14" s="399"/>
      <c r="AT14" s="399"/>
      <c r="AU14" s="399">
        <v>0</v>
      </c>
      <c r="AV14" s="399">
        <v>0</v>
      </c>
      <c r="AW14" s="399">
        <v>0</v>
      </c>
      <c r="AX14" s="399"/>
      <c r="AY14" s="399"/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/>
      <c r="BG14" s="399">
        <v>0</v>
      </c>
      <c r="BH14" s="399">
        <v>0</v>
      </c>
      <c r="BI14" s="399">
        <v>0</v>
      </c>
      <c r="BJ14" s="399">
        <v>0</v>
      </c>
      <c r="BK14" s="399">
        <v>491783.09</v>
      </c>
      <c r="BL14" s="399">
        <v>26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0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443267.8</v>
      </c>
      <c r="CJ14" s="399">
        <v>-55368.110000000044</v>
      </c>
      <c r="CK14" s="399"/>
      <c r="CL14" s="399"/>
      <c r="CM14" s="399"/>
      <c r="CN14" s="399"/>
      <c r="CO14" s="399">
        <v>-55368.080000000009</v>
      </c>
      <c r="CP14" s="399">
        <v>0</v>
      </c>
      <c r="CQ14" s="399">
        <v>30</v>
      </c>
      <c r="CR14" s="399">
        <v>-1032.3651956412068</v>
      </c>
      <c r="CS14" s="399">
        <v>0</v>
      </c>
      <c r="CT14" s="399">
        <v>0</v>
      </c>
      <c r="CU14" s="399">
        <v>0</v>
      </c>
      <c r="CV14" s="399">
        <v>0</v>
      </c>
      <c r="CW14" s="399"/>
      <c r="CX14" s="399"/>
      <c r="CY14" s="399"/>
      <c r="CZ14" s="399">
        <v>-1032.3651956412068</v>
      </c>
      <c r="DA14" s="399">
        <v>0</v>
      </c>
      <c r="DB14" s="399">
        <v>0</v>
      </c>
      <c r="DC14" s="399"/>
      <c r="DD14" s="399"/>
      <c r="DE14" s="399">
        <v>0</v>
      </c>
      <c r="DF14" s="399">
        <v>0</v>
      </c>
      <c r="DG14" s="399">
        <v>0</v>
      </c>
      <c r="DH14" s="399">
        <v>0</v>
      </c>
      <c r="DI14" s="399">
        <v>0</v>
      </c>
      <c r="DJ14" s="399"/>
      <c r="DK14" s="399">
        <v>0</v>
      </c>
      <c r="DL14" s="399">
        <v>0</v>
      </c>
      <c r="DM14" s="399"/>
      <c r="DN14" s="399">
        <v>0</v>
      </c>
      <c r="DO14" s="399">
        <v>0</v>
      </c>
      <c r="DP14" s="399">
        <v>0</v>
      </c>
      <c r="DQ14" s="399">
        <v>0</v>
      </c>
      <c r="DR14" s="399">
        <v>0</v>
      </c>
      <c r="DS14" s="399"/>
      <c r="DT14" s="399"/>
      <c r="DU14" s="399">
        <v>305638.56974864571</v>
      </c>
      <c r="DV14" s="399"/>
      <c r="DW14" s="399">
        <v>0</v>
      </c>
      <c r="DX14" s="399">
        <v>0</v>
      </c>
      <c r="DY14" s="399">
        <v>-55368.080000000016</v>
      </c>
      <c r="DZ14" s="399"/>
      <c r="EA14" s="399">
        <v>0</v>
      </c>
      <c r="EB14" s="399"/>
      <c r="EC14" s="399">
        <v>-54310.130186429888</v>
      </c>
      <c r="ED14" s="399"/>
      <c r="EE14" s="399">
        <v>0</v>
      </c>
      <c r="EF14" s="399">
        <v>0</v>
      </c>
      <c r="EG14" s="399"/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/>
      <c r="EN14" s="399"/>
      <c r="EO14" s="399">
        <v>0</v>
      </c>
      <c r="EP14" s="399">
        <v>0</v>
      </c>
      <c r="EQ14" s="399"/>
      <c r="ER14" s="399">
        <v>0</v>
      </c>
      <c r="ES14" s="399"/>
      <c r="ET14" s="399">
        <v>0</v>
      </c>
      <c r="EU14" s="399"/>
      <c r="EV14" s="399">
        <v>229</v>
      </c>
      <c r="EW14" s="399"/>
      <c r="EX14" s="399"/>
      <c r="EY14" s="399"/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954</v>
      </c>
      <c r="C15" s="399" t="s">
        <v>2345</v>
      </c>
      <c r="D15" s="399" t="s">
        <v>1822</v>
      </c>
      <c r="E15" s="399" t="s">
        <v>888</v>
      </c>
      <c r="F15" s="399" t="s">
        <v>1237</v>
      </c>
      <c r="G15" s="399" t="s">
        <v>1237</v>
      </c>
      <c r="H15" s="399" t="s">
        <v>1237</v>
      </c>
      <c r="I15" s="399" t="s">
        <v>891</v>
      </c>
      <c r="J15" s="399" t="s">
        <v>2337</v>
      </c>
      <c r="K15" s="788">
        <v>44440</v>
      </c>
      <c r="L15" s="399">
        <v>0</v>
      </c>
      <c r="M15" s="399">
        <v>0</v>
      </c>
      <c r="N15" s="399">
        <v>0.13400000000000001</v>
      </c>
      <c r="O15" s="399">
        <v>0.13400000000000001</v>
      </c>
      <c r="P15" s="399">
        <v>0.13400000000000001</v>
      </c>
      <c r="Q15" s="399">
        <v>0.13400000000000001</v>
      </c>
      <c r="R15" s="399"/>
      <c r="S15" s="399">
        <v>2187.66</v>
      </c>
      <c r="T15" s="399">
        <v>119.97</v>
      </c>
      <c r="U15" s="399"/>
      <c r="V15" s="399">
        <v>309.22242</v>
      </c>
      <c r="W15" s="399">
        <v>309.22242</v>
      </c>
      <c r="X15" s="399">
        <v>266.78730000000002</v>
      </c>
      <c r="Y15" s="399">
        <v>0</v>
      </c>
      <c r="Z15" s="399">
        <v>8.1599138634683612</v>
      </c>
      <c r="AA15" s="399">
        <v>0</v>
      </c>
      <c r="AB15" s="399">
        <v>0</v>
      </c>
      <c r="AC15" s="399">
        <v>0</v>
      </c>
      <c r="AD15" s="399">
        <v>48.989949061930886</v>
      </c>
      <c r="AE15" s="399">
        <v>232.06573402623377</v>
      </c>
      <c r="AF15" s="399">
        <v>16.076494904852886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1.2609702717867726</v>
      </c>
      <c r="AM15" s="399"/>
      <c r="AN15" s="399">
        <v>0.28827403266171797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2.3815034098617809</v>
      </c>
      <c r="BH15" s="399">
        <v>0</v>
      </c>
      <c r="BI15" s="399">
        <v>0</v>
      </c>
      <c r="BJ15" s="399">
        <v>0</v>
      </c>
      <c r="BK15" s="399">
        <v>0</v>
      </c>
      <c r="BL15" s="399">
        <v>0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18.457998314714668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258.82350000000002</v>
      </c>
      <c r="CJ15" s="399">
        <v>-50.428919999999948</v>
      </c>
      <c r="CK15" s="399"/>
      <c r="CL15" s="399"/>
      <c r="CM15" s="399"/>
      <c r="CN15" s="399"/>
      <c r="CO15" s="399">
        <v>-42.435119999999984</v>
      </c>
      <c r="CP15" s="399">
        <v>0</v>
      </c>
      <c r="CQ15" s="399">
        <v>30</v>
      </c>
      <c r="CR15" s="399">
        <v>-1.1978229743771323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-0.26210503991865863</v>
      </c>
      <c r="DA15" s="399">
        <v>0</v>
      </c>
      <c r="DB15" s="399">
        <v>0</v>
      </c>
      <c r="DC15" s="399">
        <v>0</v>
      </c>
      <c r="DD15" s="399">
        <v>0</v>
      </c>
      <c r="DE15" s="399">
        <v>0</v>
      </c>
      <c r="DF15" s="399">
        <v>0</v>
      </c>
      <c r="DG15" s="399">
        <v>0</v>
      </c>
      <c r="DH15" s="399">
        <v>0</v>
      </c>
      <c r="DI15" s="399">
        <v>-0.80442279226282665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-0.10745774858335677</v>
      </c>
      <c r="DP15" s="399">
        <v>-2.3837393612285818E-2</v>
      </c>
      <c r="DQ15" s="399">
        <v>0</v>
      </c>
      <c r="DR15" s="399">
        <v>0</v>
      </c>
      <c r="DS15" s="399"/>
      <c r="DT15" s="399"/>
      <c r="DU15" s="399"/>
      <c r="DV15" s="399">
        <v>232.06573402623377</v>
      </c>
      <c r="DW15" s="399">
        <v>0</v>
      </c>
      <c r="DX15" s="399">
        <v>0</v>
      </c>
      <c r="DY15" s="399">
        <v>-42.435119999999955</v>
      </c>
      <c r="DZ15" s="399">
        <v>0</v>
      </c>
      <c r="EA15" s="399">
        <v>0</v>
      </c>
      <c r="EB15" s="399">
        <v>0</v>
      </c>
      <c r="EC15" s="399">
        <v>-41.236681080987665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229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954</v>
      </c>
      <c r="C16" s="399" t="s">
        <v>2345</v>
      </c>
      <c r="D16" s="399" t="s">
        <v>1822</v>
      </c>
      <c r="E16" s="399" t="s">
        <v>888</v>
      </c>
      <c r="F16" s="399" t="s">
        <v>1237</v>
      </c>
      <c r="G16" s="399" t="s">
        <v>1237</v>
      </c>
      <c r="H16" s="399" t="s">
        <v>1237</v>
      </c>
      <c r="I16" s="399" t="s">
        <v>2322</v>
      </c>
      <c r="J16" s="399" t="s">
        <v>2337</v>
      </c>
      <c r="K16" s="788">
        <v>44440</v>
      </c>
      <c r="L16" s="399">
        <v>0</v>
      </c>
      <c r="M16" s="399">
        <v>0</v>
      </c>
      <c r="N16" s="399">
        <v>28.125</v>
      </c>
      <c r="O16" s="399">
        <v>28.125</v>
      </c>
      <c r="P16" s="399">
        <v>28.125</v>
      </c>
      <c r="Q16" s="399">
        <v>28.125</v>
      </c>
      <c r="R16" s="399"/>
      <c r="S16" s="399">
        <v>509.72</v>
      </c>
      <c r="T16" s="399">
        <v>119.97</v>
      </c>
      <c r="U16" s="399"/>
      <c r="V16" s="399">
        <v>17710.03125</v>
      </c>
      <c r="W16" s="399">
        <v>17710.03125</v>
      </c>
      <c r="X16" s="399">
        <v>15771.375</v>
      </c>
      <c r="Y16" s="399">
        <v>0</v>
      </c>
      <c r="Z16" s="399">
        <v>1712.6684881346841</v>
      </c>
      <c r="AA16" s="399">
        <v>0</v>
      </c>
      <c r="AB16" s="399">
        <v>0</v>
      </c>
      <c r="AC16" s="399">
        <v>0</v>
      </c>
      <c r="AD16" s="399">
        <v>2056.4810706967228</v>
      </c>
      <c r="AE16" s="399">
        <v>9741.5733196085075</v>
      </c>
      <c r="AF16" s="399">
        <v>3374.264322380503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264.66260368658936</v>
      </c>
      <c r="AM16" s="399"/>
      <c r="AN16" s="399">
        <v>60.505277377692664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499.84912986837747</v>
      </c>
      <c r="BH16" s="399">
        <v>0</v>
      </c>
      <c r="BI16" s="399">
        <v>0</v>
      </c>
      <c r="BJ16" s="399">
        <v>0</v>
      </c>
      <c r="BK16" s="399">
        <v>0</v>
      </c>
      <c r="BL16" s="399">
        <v>0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3874.1134522488805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15774.178800000002</v>
      </c>
      <c r="CJ16" s="399">
        <v>-1935.8824499999973</v>
      </c>
      <c r="CK16" s="399"/>
      <c r="CL16" s="399"/>
      <c r="CM16" s="399"/>
      <c r="CN16" s="399"/>
      <c r="CO16" s="399">
        <v>-1938.6562500000002</v>
      </c>
      <c r="CP16" s="399">
        <v>0</v>
      </c>
      <c r="CQ16" s="399">
        <v>30</v>
      </c>
      <c r="CR16" s="399">
        <v>-207.39856534467617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-11.002543653299199</v>
      </c>
      <c r="DA16" s="399">
        <v>0</v>
      </c>
      <c r="DB16" s="399">
        <v>0</v>
      </c>
      <c r="DC16" s="399">
        <v>0</v>
      </c>
      <c r="DD16" s="399">
        <v>0</v>
      </c>
      <c r="DE16" s="399">
        <v>0</v>
      </c>
      <c r="DF16" s="399">
        <v>0</v>
      </c>
      <c r="DG16" s="399">
        <v>0</v>
      </c>
      <c r="DH16" s="399">
        <v>0</v>
      </c>
      <c r="DI16" s="399">
        <v>-168.83873904770167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-22.554098350051532</v>
      </c>
      <c r="DP16" s="399">
        <v>-5.0031842936234128</v>
      </c>
      <c r="DQ16" s="399">
        <v>0</v>
      </c>
      <c r="DR16" s="399">
        <v>0</v>
      </c>
      <c r="DS16" s="399"/>
      <c r="DT16" s="399"/>
      <c r="DU16" s="399"/>
      <c r="DV16" s="399">
        <v>9741.5733196085075</v>
      </c>
      <c r="DW16" s="399">
        <v>0</v>
      </c>
      <c r="DX16" s="399">
        <v>0</v>
      </c>
      <c r="DY16" s="399">
        <v>-1938.65625</v>
      </c>
      <c r="DZ16" s="399">
        <v>0</v>
      </c>
      <c r="EA16" s="399">
        <v>0</v>
      </c>
      <c r="EB16" s="399">
        <v>0</v>
      </c>
      <c r="EC16" s="399">
        <v>-1731.01881625636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229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954</v>
      </c>
      <c r="C17" s="399" t="s">
        <v>2345</v>
      </c>
      <c r="D17" s="399" t="s">
        <v>1822</v>
      </c>
      <c r="E17" s="399" t="s">
        <v>888</v>
      </c>
      <c r="F17" s="399" t="s">
        <v>1237</v>
      </c>
      <c r="G17" s="399" t="s">
        <v>1237</v>
      </c>
      <c r="H17" s="399" t="s">
        <v>1237</v>
      </c>
      <c r="I17" s="399" t="s">
        <v>1237</v>
      </c>
      <c r="J17" s="399" t="s">
        <v>2337</v>
      </c>
      <c r="K17" s="788">
        <v>44440</v>
      </c>
      <c r="L17" s="399">
        <v>0</v>
      </c>
      <c r="M17" s="399">
        <v>0</v>
      </c>
      <c r="N17" s="399">
        <v>0</v>
      </c>
      <c r="O17" s="399">
        <v>0</v>
      </c>
      <c r="P17" s="399">
        <v>0</v>
      </c>
      <c r="Q17" s="399">
        <v>0</v>
      </c>
      <c r="R17" s="399"/>
      <c r="S17" s="399"/>
      <c r="T17" s="399"/>
      <c r="U17" s="399"/>
      <c r="V17" s="399"/>
      <c r="W17" s="399"/>
      <c r="X17" s="399"/>
      <c r="Y17" s="399"/>
      <c r="Z17" s="399"/>
      <c r="AA17" s="399">
        <v>0</v>
      </c>
      <c r="AB17" s="399"/>
      <c r="AC17" s="399"/>
      <c r="AD17" s="399"/>
      <c r="AE17" s="399"/>
      <c r="AF17" s="399"/>
      <c r="AG17" s="399"/>
      <c r="AH17" s="399"/>
      <c r="AI17" s="399"/>
      <c r="AJ17" s="399"/>
      <c r="AK17" s="399"/>
      <c r="AL17" s="399"/>
      <c r="AM17" s="399"/>
      <c r="AN17" s="399"/>
      <c r="AO17" s="399"/>
      <c r="AP17" s="399"/>
      <c r="AQ17" s="399"/>
      <c r="AR17" s="399"/>
      <c r="AS17" s="399"/>
      <c r="AT17" s="399"/>
      <c r="AU17" s="399"/>
      <c r="AV17" s="399"/>
      <c r="AW17" s="399"/>
      <c r="AX17" s="399"/>
      <c r="AY17" s="399"/>
      <c r="AZ17" s="399">
        <v>0</v>
      </c>
      <c r="BA17" s="399"/>
      <c r="BB17" s="399"/>
      <c r="BC17" s="399"/>
      <c r="BD17" s="399"/>
      <c r="BE17" s="399"/>
      <c r="BF17" s="399"/>
      <c r="BG17" s="399"/>
      <c r="BH17" s="399"/>
      <c r="BI17" s="399">
        <v>0</v>
      </c>
      <c r="BJ17" s="399">
        <v>0</v>
      </c>
      <c r="BK17" s="399">
        <v>6238.19</v>
      </c>
      <c r="BL17" s="399">
        <v>7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/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/>
      <c r="CJ17" s="399">
        <v>-0.03</v>
      </c>
      <c r="CK17" s="399"/>
      <c r="CL17" s="399"/>
      <c r="CM17" s="399"/>
      <c r="CN17" s="399"/>
      <c r="CO17" s="399">
        <v>0</v>
      </c>
      <c r="CP17" s="399">
        <v>0</v>
      </c>
      <c r="CQ17" s="399">
        <v>30</v>
      </c>
      <c r="CR17" s="399"/>
      <c r="CS17" s="399"/>
      <c r="CT17" s="399"/>
      <c r="CU17" s="399"/>
      <c r="CV17" s="399"/>
      <c r="CW17" s="399"/>
      <c r="CX17" s="399"/>
      <c r="CY17" s="399"/>
      <c r="CZ17" s="399"/>
      <c r="DA17" s="399"/>
      <c r="DB17" s="399"/>
      <c r="DC17" s="399"/>
      <c r="DD17" s="399"/>
      <c r="DE17" s="399"/>
      <c r="DF17" s="399"/>
      <c r="DG17" s="399"/>
      <c r="DH17" s="399"/>
      <c r="DI17" s="399"/>
      <c r="DJ17" s="399"/>
      <c r="DK17" s="399">
        <v>0</v>
      </c>
      <c r="DL17" s="399"/>
      <c r="DM17" s="399"/>
      <c r="DN17" s="399"/>
      <c r="DO17" s="399"/>
      <c r="DP17" s="399"/>
      <c r="DQ17" s="399"/>
      <c r="DR17" s="399"/>
      <c r="DS17" s="399"/>
      <c r="DT17" s="399"/>
      <c r="DU17" s="399"/>
      <c r="DV17" s="399"/>
      <c r="DW17" s="399"/>
      <c r="DX17" s="399"/>
      <c r="DY17" s="399"/>
      <c r="DZ17" s="399"/>
      <c r="EA17" s="399"/>
      <c r="EB17" s="399"/>
      <c r="EC17" s="399"/>
      <c r="ED17" s="399"/>
      <c r="EE17" s="399"/>
      <c r="EF17" s="399"/>
      <c r="EG17" s="399"/>
      <c r="EH17" s="399"/>
      <c r="EI17" s="399"/>
      <c r="EJ17" s="399"/>
      <c r="EK17" s="399"/>
      <c r="EL17" s="399"/>
      <c r="EM17" s="399"/>
      <c r="EN17" s="399"/>
      <c r="EO17" s="399"/>
      <c r="EP17" s="399"/>
      <c r="EQ17" s="399"/>
      <c r="ER17" s="399"/>
      <c r="ES17" s="399"/>
      <c r="ET17" s="399"/>
      <c r="EU17" s="399"/>
      <c r="EV17" s="399">
        <v>229</v>
      </c>
      <c r="EW17" s="399"/>
      <c r="EX17" s="399"/>
      <c r="EY17" s="399"/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954</v>
      </c>
      <c r="C18" s="399" t="s">
        <v>2345</v>
      </c>
      <c r="D18" s="399" t="s">
        <v>1822</v>
      </c>
      <c r="E18" s="399" t="s">
        <v>888</v>
      </c>
      <c r="F18" s="399" t="s">
        <v>1237</v>
      </c>
      <c r="G18" s="399" t="s">
        <v>1237</v>
      </c>
      <c r="H18" s="399" t="s">
        <v>1237</v>
      </c>
      <c r="I18" s="399" t="s">
        <v>2346</v>
      </c>
      <c r="J18" s="399" t="s">
        <v>2337</v>
      </c>
      <c r="K18" s="788">
        <v>44440</v>
      </c>
      <c r="L18" s="399">
        <v>0</v>
      </c>
      <c r="M18" s="399">
        <v>0</v>
      </c>
      <c r="N18" s="399">
        <v>0.14399999999999999</v>
      </c>
      <c r="O18" s="399">
        <v>0.14399999999999999</v>
      </c>
      <c r="P18" s="399">
        <v>0.14399999999999999</v>
      </c>
      <c r="Q18" s="399">
        <v>0.14399999999999999</v>
      </c>
      <c r="R18" s="399"/>
      <c r="S18" s="399">
        <v>1348.63</v>
      </c>
      <c r="T18" s="399">
        <v>119.97</v>
      </c>
      <c r="U18" s="399"/>
      <c r="V18" s="399">
        <v>211.47839999999999</v>
      </c>
      <c r="W18" s="399">
        <v>211.47839999999999</v>
      </c>
      <c r="X18" s="399">
        <v>183.71519999999998</v>
      </c>
      <c r="Y18" s="399">
        <v>0</v>
      </c>
      <c r="Z18" s="399">
        <v>8.7688626592495815</v>
      </c>
      <c r="AA18" s="399">
        <v>0</v>
      </c>
      <c r="AB18" s="399">
        <v>0</v>
      </c>
      <c r="AC18" s="399">
        <v>0</v>
      </c>
      <c r="AD18" s="399">
        <v>31.57874558111736</v>
      </c>
      <c r="AE18" s="399">
        <v>149.63042979213549</v>
      </c>
      <c r="AF18" s="399">
        <v>17.276233330588173</v>
      </c>
      <c r="AG18" s="399">
        <v>0</v>
      </c>
      <c r="AH18" s="399">
        <v>0</v>
      </c>
      <c r="AI18" s="399">
        <v>0</v>
      </c>
      <c r="AJ18" s="399">
        <v>0</v>
      </c>
      <c r="AK18" s="399">
        <v>0</v>
      </c>
      <c r="AL18" s="399">
        <v>1.3550725308753375</v>
      </c>
      <c r="AM18" s="399"/>
      <c r="AN18" s="399">
        <v>0.3097870201737864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2.5592275449260926</v>
      </c>
      <c r="BH18" s="399">
        <v>0</v>
      </c>
      <c r="BI18" s="399">
        <v>0</v>
      </c>
      <c r="BJ18" s="399">
        <v>0</v>
      </c>
      <c r="BK18" s="399">
        <v>0</v>
      </c>
      <c r="BL18" s="399">
        <v>0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19.835460875514265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178.61200000000002</v>
      </c>
      <c r="CJ18" s="399">
        <v>-32.896399999999943</v>
      </c>
      <c r="CK18" s="399"/>
      <c r="CL18" s="399"/>
      <c r="CM18" s="399"/>
      <c r="CN18" s="399"/>
      <c r="CO18" s="399">
        <v>-27.763200000000023</v>
      </c>
      <c r="CP18" s="399">
        <v>0</v>
      </c>
      <c r="CQ18" s="399">
        <v>30</v>
      </c>
      <c r="CR18" s="399">
        <v>-1.17449960038428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-0.16895196932443213</v>
      </c>
      <c r="DA18" s="399">
        <v>0</v>
      </c>
      <c r="DB18" s="399">
        <v>0</v>
      </c>
      <c r="DC18" s="399">
        <v>0</v>
      </c>
      <c r="DD18" s="399">
        <v>0</v>
      </c>
      <c r="DE18" s="399">
        <v>0</v>
      </c>
      <c r="DF18" s="399">
        <v>0</v>
      </c>
      <c r="DG18" s="399">
        <v>0</v>
      </c>
      <c r="DH18" s="399">
        <v>0</v>
      </c>
      <c r="DI18" s="399">
        <v>-0.86445434392423159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-0.11547698355226399</v>
      </c>
      <c r="DP18" s="399">
        <v>-2.5616303583351874E-2</v>
      </c>
      <c r="DQ18" s="399">
        <v>0</v>
      </c>
      <c r="DR18" s="399">
        <v>0</v>
      </c>
      <c r="DS18" s="399"/>
      <c r="DT18" s="399"/>
      <c r="DU18" s="399"/>
      <c r="DV18" s="399">
        <v>149.63042979213549</v>
      </c>
      <c r="DW18" s="399">
        <v>0</v>
      </c>
      <c r="DX18" s="399">
        <v>0</v>
      </c>
      <c r="DY18" s="399">
        <v>-27.763200000000012</v>
      </c>
      <c r="DZ18" s="399">
        <v>0</v>
      </c>
      <c r="EA18" s="399">
        <v>0</v>
      </c>
      <c r="EB18" s="399">
        <v>0</v>
      </c>
      <c r="EC18" s="399">
        <v>-26.588424780764768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0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229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954</v>
      </c>
      <c r="C19" s="399" t="s">
        <v>2336</v>
      </c>
      <c r="D19" s="399" t="s">
        <v>1822</v>
      </c>
      <c r="E19" s="399" t="s">
        <v>916</v>
      </c>
      <c r="F19" s="399" t="s">
        <v>1237</v>
      </c>
      <c r="G19" s="399" t="s">
        <v>1237</v>
      </c>
      <c r="H19" s="399" t="s">
        <v>1237</v>
      </c>
      <c r="I19" s="399" t="s">
        <v>1237</v>
      </c>
      <c r="J19" s="399" t="s">
        <v>2337</v>
      </c>
      <c r="K19" s="788">
        <v>44440</v>
      </c>
      <c r="L19" s="399">
        <v>0</v>
      </c>
      <c r="M19" s="399">
        <v>0</v>
      </c>
      <c r="N19" s="399">
        <v>86.62</v>
      </c>
      <c r="O19" s="399">
        <v>86.62</v>
      </c>
      <c r="P19" s="399">
        <v>86.62</v>
      </c>
      <c r="Q19" s="399">
        <v>86.62</v>
      </c>
      <c r="R19" s="399"/>
      <c r="S19" s="399">
        <v>707.13</v>
      </c>
      <c r="T19" s="399">
        <v>119.97</v>
      </c>
      <c r="U19" s="399"/>
      <c r="V19" s="399">
        <v>71643.402000000002</v>
      </c>
      <c r="W19" s="399">
        <v>71643.402000000002</v>
      </c>
      <c r="X19" s="399">
        <v>63148.578599999993</v>
      </c>
      <c r="Y19" s="399">
        <v>0</v>
      </c>
      <c r="Z19" s="399">
        <v>5274.7144690569367</v>
      </c>
      <c r="AA19" s="399">
        <v>0</v>
      </c>
      <c r="AB19" s="399">
        <v>0</v>
      </c>
      <c r="AC19" s="399">
        <v>0</v>
      </c>
      <c r="AD19" s="399">
        <v>9315.0464396776424</v>
      </c>
      <c r="AE19" s="399">
        <v>44121.018613260872</v>
      </c>
      <c r="AF19" s="399">
        <v>10392.134243719081</v>
      </c>
      <c r="AG19" s="399">
        <v>0</v>
      </c>
      <c r="AH19" s="399">
        <v>0</v>
      </c>
      <c r="AI19" s="399">
        <v>0</v>
      </c>
      <c r="AJ19" s="399">
        <v>0</v>
      </c>
      <c r="AK19" s="399">
        <v>0</v>
      </c>
      <c r="AL19" s="399">
        <v>815.11376822515103</v>
      </c>
      <c r="AM19" s="399"/>
      <c r="AN19" s="399">
        <v>186.34549782953738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1539.4464579270705</v>
      </c>
      <c r="BH19" s="399">
        <v>0</v>
      </c>
      <c r="BI19" s="399">
        <v>0</v>
      </c>
      <c r="BJ19" s="399">
        <v>0</v>
      </c>
      <c r="BK19" s="399">
        <v>22607.45</v>
      </c>
      <c r="BL19" s="399">
        <v>277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11931.580701646151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63148.578599999993</v>
      </c>
      <c r="CJ19" s="399">
        <v>-8494.8534000000072</v>
      </c>
      <c r="CK19" s="399"/>
      <c r="CL19" s="399"/>
      <c r="CM19" s="399"/>
      <c r="CN19" s="399"/>
      <c r="CO19" s="399">
        <v>-8494.8234000000048</v>
      </c>
      <c r="CP19" s="399">
        <v>0</v>
      </c>
      <c r="CQ19" s="399">
        <v>30</v>
      </c>
      <c r="CR19" s="399">
        <v>-654.70200602775003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-49.837174066609805</v>
      </c>
      <c r="DA19" s="399">
        <v>0</v>
      </c>
      <c r="DB19" s="399">
        <v>0</v>
      </c>
      <c r="DC19" s="399">
        <v>0</v>
      </c>
      <c r="DD19" s="399">
        <v>0</v>
      </c>
      <c r="DE19" s="399">
        <v>0</v>
      </c>
      <c r="DF19" s="399">
        <v>0</v>
      </c>
      <c r="DG19" s="399">
        <v>0</v>
      </c>
      <c r="DH19" s="399">
        <v>0</v>
      </c>
      <c r="DI19" s="399">
        <v>-519.99330049108994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-69.46261330067432</v>
      </c>
      <c r="DP19" s="399">
        <v>-15.408918169374573</v>
      </c>
      <c r="DQ19" s="399">
        <v>0</v>
      </c>
      <c r="DR19" s="399">
        <v>0</v>
      </c>
      <c r="DS19" s="399"/>
      <c r="DT19" s="399"/>
      <c r="DU19" s="399"/>
      <c r="DV19" s="399">
        <v>44121.018613260872</v>
      </c>
      <c r="DW19" s="399">
        <v>0</v>
      </c>
      <c r="DX19" s="399">
        <v>0</v>
      </c>
      <c r="DY19" s="399">
        <v>-8494.8234000000084</v>
      </c>
      <c r="DZ19" s="399">
        <v>0</v>
      </c>
      <c r="EA19" s="399">
        <v>0</v>
      </c>
      <c r="EB19" s="399">
        <v>0</v>
      </c>
      <c r="EC19" s="399">
        <v>-7840.0388629442677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229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2339</v>
      </c>
      <c r="C20" s="399" t="s">
        <v>2336</v>
      </c>
      <c r="D20" s="399" t="s">
        <v>1822</v>
      </c>
      <c r="E20" s="399" t="s">
        <v>916</v>
      </c>
      <c r="F20" s="399" t="s">
        <v>1237</v>
      </c>
      <c r="G20" s="399" t="s">
        <v>1237</v>
      </c>
      <c r="H20" s="399" t="s">
        <v>1237</v>
      </c>
      <c r="I20" s="399" t="s">
        <v>1237</v>
      </c>
      <c r="J20" s="399" t="s">
        <v>2337</v>
      </c>
      <c r="K20" s="788">
        <v>44440</v>
      </c>
      <c r="L20" s="399">
        <v>0</v>
      </c>
      <c r="M20" s="399">
        <v>0</v>
      </c>
      <c r="N20" s="399">
        <v>0.5</v>
      </c>
      <c r="O20" s="399">
        <v>0.5</v>
      </c>
      <c r="P20" s="399">
        <v>0.5</v>
      </c>
      <c r="Q20" s="399">
        <v>0.5</v>
      </c>
      <c r="R20" s="399"/>
      <c r="S20" s="399">
        <v>707.13</v>
      </c>
      <c r="T20" s="399">
        <v>119.97</v>
      </c>
      <c r="U20" s="399"/>
      <c r="V20" s="399">
        <v>413.55</v>
      </c>
      <c r="W20" s="399">
        <v>413.55</v>
      </c>
      <c r="X20" s="399">
        <v>364.51499999999999</v>
      </c>
      <c r="Y20" s="399">
        <v>0</v>
      </c>
      <c r="Z20" s="399">
        <v>30.44743978906105</v>
      </c>
      <c r="AA20" s="399">
        <v>0</v>
      </c>
      <c r="AB20" s="399">
        <v>0</v>
      </c>
      <c r="AC20" s="399">
        <v>0</v>
      </c>
      <c r="AD20" s="399">
        <v>53.769605401048501</v>
      </c>
      <c r="AE20" s="399">
        <v>254.6814743319145</v>
      </c>
      <c r="AF20" s="399">
        <v>59.986921286764499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4.7051129544282553</v>
      </c>
      <c r="AM20" s="399"/>
      <c r="AN20" s="399">
        <v>1.0756493756034251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8.8862067532155997</v>
      </c>
      <c r="BH20" s="399">
        <v>0</v>
      </c>
      <c r="BI20" s="399">
        <v>0</v>
      </c>
      <c r="BJ20" s="399">
        <v>0</v>
      </c>
      <c r="BK20" s="399">
        <v>1801.55</v>
      </c>
      <c r="BL20" s="399">
        <v>5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68.873128039980102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364.51499999999999</v>
      </c>
      <c r="CJ20" s="399">
        <v>-49.064999999999998</v>
      </c>
      <c r="CK20" s="399"/>
      <c r="CL20" s="399"/>
      <c r="CM20" s="399"/>
      <c r="CN20" s="399"/>
      <c r="CO20" s="399">
        <v>-49.035000000000025</v>
      </c>
      <c r="CP20" s="399">
        <v>0</v>
      </c>
      <c r="CQ20" s="399">
        <v>30</v>
      </c>
      <c r="CR20" s="399">
        <v>-3.7791618911783758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-0.28767706110949831</v>
      </c>
      <c r="DA20" s="399">
        <v>0</v>
      </c>
      <c r="DB20" s="399">
        <v>0</v>
      </c>
      <c r="DC20" s="399">
        <v>0</v>
      </c>
      <c r="DD20" s="399">
        <v>0</v>
      </c>
      <c r="DE20" s="399">
        <v>0</v>
      </c>
      <c r="DF20" s="399">
        <v>0</v>
      </c>
      <c r="DG20" s="399">
        <v>0</v>
      </c>
      <c r="DH20" s="399">
        <v>0</v>
      </c>
      <c r="DI20" s="399">
        <v>-3.0015775830702509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-0.40096174844536048</v>
      </c>
      <c r="DP20" s="399">
        <v>-8.8945498553305136E-2</v>
      </c>
      <c r="DQ20" s="399">
        <v>0</v>
      </c>
      <c r="DR20" s="399">
        <v>0</v>
      </c>
      <c r="DS20" s="399"/>
      <c r="DT20" s="399"/>
      <c r="DU20" s="399"/>
      <c r="DV20" s="399">
        <v>254.6814743319145</v>
      </c>
      <c r="DW20" s="399">
        <v>0</v>
      </c>
      <c r="DX20" s="399">
        <v>0</v>
      </c>
      <c r="DY20" s="399">
        <v>-49.035000000000025</v>
      </c>
      <c r="DZ20" s="399">
        <v>0</v>
      </c>
      <c r="EA20" s="399">
        <v>0</v>
      </c>
      <c r="EB20" s="399">
        <v>0</v>
      </c>
      <c r="EC20" s="399">
        <v>-45.255361711754006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229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954</v>
      </c>
      <c r="C21" s="399" t="s">
        <v>2336</v>
      </c>
      <c r="D21" s="399" t="s">
        <v>2347</v>
      </c>
      <c r="E21" s="399" t="s">
        <v>892</v>
      </c>
      <c r="F21" s="399" t="s">
        <v>1237</v>
      </c>
      <c r="G21" s="399" t="s">
        <v>1237</v>
      </c>
      <c r="H21" s="399" t="s">
        <v>1237</v>
      </c>
      <c r="I21" s="399" t="s">
        <v>1237</v>
      </c>
      <c r="J21" s="399" t="s">
        <v>2337</v>
      </c>
      <c r="K21" s="788">
        <v>44440</v>
      </c>
      <c r="L21" s="399">
        <v>0</v>
      </c>
      <c r="M21" s="399">
        <v>0</v>
      </c>
      <c r="N21" s="399">
        <v>236.78899999999999</v>
      </c>
      <c r="O21" s="399">
        <v>236.78899999999999</v>
      </c>
      <c r="P21" s="399">
        <v>236.78899999999999</v>
      </c>
      <c r="Q21" s="399">
        <v>236.78899999999999</v>
      </c>
      <c r="R21" s="399"/>
      <c r="S21" s="399">
        <v>707.13</v>
      </c>
      <c r="T21" s="399">
        <v>119.97</v>
      </c>
      <c r="U21" s="399"/>
      <c r="V21" s="399">
        <v>195848.1819</v>
      </c>
      <c r="W21" s="399">
        <v>195848.1819</v>
      </c>
      <c r="X21" s="399">
        <v>172626.28466999999</v>
      </c>
      <c r="Y21" s="399">
        <v>0</v>
      </c>
      <c r="Z21" s="399">
        <v>14419.237640423953</v>
      </c>
      <c r="AA21" s="399">
        <v>0</v>
      </c>
      <c r="AB21" s="399">
        <v>0</v>
      </c>
      <c r="AC21" s="399">
        <v>0</v>
      </c>
      <c r="AD21" s="399">
        <v>25464.102186617747</v>
      </c>
      <c r="AE21" s="399">
        <v>120611.5432511594</v>
      </c>
      <c r="AF21" s="399">
        <v>28408.486209143357</v>
      </c>
      <c r="AG21" s="399">
        <v>0</v>
      </c>
      <c r="AH21" s="399">
        <v>0</v>
      </c>
      <c r="AI21" s="399">
        <v>0</v>
      </c>
      <c r="AJ21" s="399">
        <v>0</v>
      </c>
      <c r="AK21" s="399">
        <v>0</v>
      </c>
      <c r="AL21" s="399">
        <v>2228.2379827322243</v>
      </c>
      <c r="AM21" s="399"/>
      <c r="AN21" s="399">
        <v>509.40387999951884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4208.3120217743372</v>
      </c>
      <c r="BH21" s="399">
        <v>0</v>
      </c>
      <c r="BI21" s="399">
        <v>0</v>
      </c>
      <c r="BJ21" s="399">
        <v>0</v>
      </c>
      <c r="BK21" s="399">
        <v>33386.230000000003</v>
      </c>
      <c r="BL21" s="399">
        <v>716</v>
      </c>
      <c r="BM21" s="399"/>
      <c r="BN21" s="399"/>
      <c r="BO21" s="399"/>
      <c r="BP21" s="399"/>
      <c r="BQ21" s="399"/>
      <c r="BR21" s="399">
        <v>20714.301719999981</v>
      </c>
      <c r="BS21" s="399"/>
      <c r="BT21" s="399"/>
      <c r="BU21" s="399"/>
      <c r="BV21" s="399">
        <v>32616.798230917695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151912.62450000001</v>
      </c>
      <c r="CJ21" s="399">
        <v>-20436.647040000011</v>
      </c>
      <c r="CK21" s="399"/>
      <c r="CL21" s="399"/>
      <c r="CM21" s="399"/>
      <c r="CN21" s="399"/>
      <c r="CO21" s="399">
        <v>-23221.89723000001</v>
      </c>
      <c r="CP21" s="399">
        <v>0</v>
      </c>
      <c r="CQ21" s="399">
        <v>30</v>
      </c>
      <c r="CR21" s="399">
        <v>-1789.7279301004892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-136.23752724611404</v>
      </c>
      <c r="DA21" s="399">
        <v>0</v>
      </c>
      <c r="DB21" s="399">
        <v>0</v>
      </c>
      <c r="DC21" s="399">
        <v>0</v>
      </c>
      <c r="DD21" s="399">
        <v>0</v>
      </c>
      <c r="DE21" s="399">
        <v>0</v>
      </c>
      <c r="DF21" s="399">
        <v>0</v>
      </c>
      <c r="DG21" s="399">
        <v>0</v>
      </c>
      <c r="DH21" s="399">
        <v>0</v>
      </c>
      <c r="DI21" s="399">
        <v>-1421.4811086352438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-189.88666290525703</v>
      </c>
      <c r="DP21" s="399">
        <v>-42.12263131387715</v>
      </c>
      <c r="DQ21" s="399">
        <v>0</v>
      </c>
      <c r="DR21" s="399">
        <v>0</v>
      </c>
      <c r="DS21" s="399"/>
      <c r="DT21" s="399"/>
      <c r="DU21" s="399"/>
      <c r="DV21" s="399">
        <v>120611.5432511594</v>
      </c>
      <c r="DW21" s="399">
        <v>0</v>
      </c>
      <c r="DX21" s="399">
        <v>0</v>
      </c>
      <c r="DY21" s="399">
        <v>-23221.897230000002</v>
      </c>
      <c r="DZ21" s="399">
        <v>0</v>
      </c>
      <c r="EA21" s="399">
        <v>0</v>
      </c>
      <c r="EB21" s="399">
        <v>0</v>
      </c>
      <c r="EC21" s="399">
        <v>-21431.943688729036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229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2339</v>
      </c>
      <c r="C22" s="399" t="s">
        <v>2336</v>
      </c>
      <c r="D22" s="399" t="s">
        <v>2347</v>
      </c>
      <c r="E22" s="399" t="s">
        <v>892</v>
      </c>
      <c r="F22" s="399" t="s">
        <v>1237</v>
      </c>
      <c r="G22" s="399" t="s">
        <v>1237</v>
      </c>
      <c r="H22" s="399" t="s">
        <v>1237</v>
      </c>
      <c r="I22" s="399" t="s">
        <v>1237</v>
      </c>
      <c r="J22" s="399" t="s">
        <v>2337</v>
      </c>
      <c r="K22" s="788">
        <v>44440</v>
      </c>
      <c r="L22" s="399">
        <v>0</v>
      </c>
      <c r="M22" s="399">
        <v>0</v>
      </c>
      <c r="N22" s="399">
        <v>19.481999999999999</v>
      </c>
      <c r="O22" s="399">
        <v>19.481999999999999</v>
      </c>
      <c r="P22" s="399">
        <v>19.481999999999999</v>
      </c>
      <c r="Q22" s="399">
        <v>19.481999999999999</v>
      </c>
      <c r="R22" s="399"/>
      <c r="S22" s="399">
        <v>707.13</v>
      </c>
      <c r="T22" s="399">
        <v>119.97</v>
      </c>
      <c r="U22" s="399"/>
      <c r="V22" s="399">
        <v>16113.5622</v>
      </c>
      <c r="W22" s="399">
        <v>16113.5622</v>
      </c>
      <c r="X22" s="399">
        <v>14202.962459999999</v>
      </c>
      <c r="Y22" s="399">
        <v>0</v>
      </c>
      <c r="Z22" s="399">
        <v>1186.3540439409746</v>
      </c>
      <c r="AA22" s="399">
        <v>0</v>
      </c>
      <c r="AB22" s="399">
        <v>0</v>
      </c>
      <c r="AC22" s="399">
        <v>0</v>
      </c>
      <c r="AD22" s="399">
        <v>2095.078904846454</v>
      </c>
      <c r="AE22" s="399">
        <v>9923.4089658687171</v>
      </c>
      <c r="AF22" s="399">
        <v>2337.330401017492</v>
      </c>
      <c r="AG22" s="399">
        <v>0</v>
      </c>
      <c r="AH22" s="399">
        <v>0</v>
      </c>
      <c r="AI22" s="399">
        <v>0</v>
      </c>
      <c r="AJ22" s="399">
        <v>0</v>
      </c>
      <c r="AK22" s="399">
        <v>0</v>
      </c>
      <c r="AL22" s="399">
        <v>183.33002115634253</v>
      </c>
      <c r="AM22" s="399"/>
      <c r="AN22" s="399">
        <v>41.911602271011851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346.24215993229262</v>
      </c>
      <c r="BH22" s="399">
        <v>0</v>
      </c>
      <c r="BI22" s="399">
        <v>0</v>
      </c>
      <c r="BJ22" s="399">
        <v>0</v>
      </c>
      <c r="BK22" s="399">
        <v>5048.12</v>
      </c>
      <c r="BL22" s="399">
        <v>10</v>
      </c>
      <c r="BM22" s="399"/>
      <c r="BN22" s="399"/>
      <c r="BO22" s="399"/>
      <c r="BP22" s="399"/>
      <c r="BQ22" s="399"/>
      <c r="BR22" s="399">
        <v>1704.2853599999985</v>
      </c>
      <c r="BS22" s="399"/>
      <c r="BT22" s="399"/>
      <c r="BU22" s="399"/>
      <c r="BV22" s="399">
        <v>2683.5725609497845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12497.394</v>
      </c>
      <c r="CJ22" s="399">
        <v>-1682.8045199999997</v>
      </c>
      <c r="CK22" s="399"/>
      <c r="CL22" s="399"/>
      <c r="CM22" s="399"/>
      <c r="CN22" s="399"/>
      <c r="CO22" s="399">
        <v>-1910.599740000001</v>
      </c>
      <c r="CP22" s="399">
        <v>0</v>
      </c>
      <c r="CQ22" s="399">
        <v>30</v>
      </c>
      <c r="CR22" s="399">
        <v>-147.2512639278757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-11.209049009070895</v>
      </c>
      <c r="DA22" s="399">
        <v>0</v>
      </c>
      <c r="DB22" s="399">
        <v>0</v>
      </c>
      <c r="DC22" s="399">
        <v>0</v>
      </c>
      <c r="DD22" s="399">
        <v>0</v>
      </c>
      <c r="DE22" s="399">
        <v>0</v>
      </c>
      <c r="DF22" s="399">
        <v>0</v>
      </c>
      <c r="DG22" s="399">
        <v>0</v>
      </c>
      <c r="DH22" s="399">
        <v>0</v>
      </c>
      <c r="DI22" s="399">
        <v>-116.95346894674913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-15.623073566425006</v>
      </c>
      <c r="DP22" s="399">
        <v>-3.4656724056309756</v>
      </c>
      <c r="DQ22" s="399">
        <v>0</v>
      </c>
      <c r="DR22" s="399">
        <v>0</v>
      </c>
      <c r="DS22" s="399"/>
      <c r="DT22" s="399"/>
      <c r="DU22" s="399"/>
      <c r="DV22" s="399">
        <v>9923.4089658687171</v>
      </c>
      <c r="DW22" s="399">
        <v>0</v>
      </c>
      <c r="DX22" s="399">
        <v>0</v>
      </c>
      <c r="DY22" s="399">
        <v>-1910.5997400000015</v>
      </c>
      <c r="DZ22" s="399">
        <v>0</v>
      </c>
      <c r="EA22" s="399">
        <v>0</v>
      </c>
      <c r="EB22" s="399">
        <v>0</v>
      </c>
      <c r="EC22" s="399">
        <v>-1763.329913736784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0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229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954</v>
      </c>
      <c r="C23" s="399" t="s">
        <v>2336</v>
      </c>
      <c r="D23" s="399" t="s">
        <v>1822</v>
      </c>
      <c r="E23" s="399" t="s">
        <v>2348</v>
      </c>
      <c r="F23" s="399" t="s">
        <v>1237</v>
      </c>
      <c r="G23" s="399" t="s">
        <v>1237</v>
      </c>
      <c r="H23" s="399" t="s">
        <v>1237</v>
      </c>
      <c r="I23" s="399" t="s">
        <v>1237</v>
      </c>
      <c r="J23" s="399" t="s">
        <v>2337</v>
      </c>
      <c r="K23" s="788">
        <v>44440</v>
      </c>
      <c r="L23" s="399">
        <v>0</v>
      </c>
      <c r="M23" s="399">
        <v>0</v>
      </c>
      <c r="N23" s="399">
        <v>22.864000000000001</v>
      </c>
      <c r="O23" s="399">
        <v>22.864000000000001</v>
      </c>
      <c r="P23" s="399">
        <v>22.864000000000001</v>
      </c>
      <c r="Q23" s="399">
        <v>22.864000000000001</v>
      </c>
      <c r="R23" s="399"/>
      <c r="S23" s="399">
        <v>707.13</v>
      </c>
      <c r="T23" s="399">
        <v>119.97</v>
      </c>
      <c r="U23" s="399"/>
      <c r="V23" s="399">
        <v>18910.814399999999</v>
      </c>
      <c r="W23" s="399">
        <v>18910.814399999999</v>
      </c>
      <c r="X23" s="399">
        <v>16668.54192</v>
      </c>
      <c r="Y23" s="399">
        <v>0</v>
      </c>
      <c r="Z23" s="399">
        <v>1392.3005266741839</v>
      </c>
      <c r="AA23" s="399">
        <v>0</v>
      </c>
      <c r="AB23" s="399">
        <v>0</v>
      </c>
      <c r="AC23" s="399">
        <v>0</v>
      </c>
      <c r="AD23" s="399">
        <v>2458.7765157791459</v>
      </c>
      <c r="AE23" s="399">
        <v>11646.074458249786</v>
      </c>
      <c r="AF23" s="399">
        <v>2743.0819366011669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215.15540518009527</v>
      </c>
      <c r="AM23" s="399"/>
      <c r="AN23" s="399">
        <v>49.187294647593426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406.34846241104293</v>
      </c>
      <c r="BH23" s="399">
        <v>0</v>
      </c>
      <c r="BI23" s="399">
        <v>0</v>
      </c>
      <c r="BJ23" s="399">
        <v>0</v>
      </c>
      <c r="BK23" s="399">
        <v>5897.01</v>
      </c>
      <c r="BL23" s="399">
        <v>82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3149.4303990122098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16665.625799999998</v>
      </c>
      <c r="CJ23" s="399">
        <v>-2245.2186000000002</v>
      </c>
      <c r="CK23" s="399"/>
      <c r="CL23" s="399"/>
      <c r="CM23" s="399"/>
      <c r="CN23" s="399"/>
      <c r="CO23" s="399">
        <v>-2242.272480000001</v>
      </c>
      <c r="CP23" s="399">
        <v>0</v>
      </c>
      <c r="CQ23" s="399">
        <v>30</v>
      </c>
      <c r="CR23" s="399">
        <v>-172.81351495980743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-13.154896650415139</v>
      </c>
      <c r="DA23" s="399">
        <v>0</v>
      </c>
      <c r="DB23" s="399">
        <v>0</v>
      </c>
      <c r="DC23" s="399">
        <v>0</v>
      </c>
      <c r="DD23" s="399">
        <v>0</v>
      </c>
      <c r="DE23" s="399">
        <v>0</v>
      </c>
      <c r="DF23" s="399">
        <v>0</v>
      </c>
      <c r="DG23" s="399">
        <v>0</v>
      </c>
      <c r="DH23" s="399">
        <v>0</v>
      </c>
      <c r="DI23" s="399">
        <v>-137.25613971863663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-18.335178832909463</v>
      </c>
      <c r="DP23" s="399">
        <v>-4.0672997578455394</v>
      </c>
      <c r="DQ23" s="399">
        <v>0</v>
      </c>
      <c r="DR23" s="399">
        <v>0</v>
      </c>
      <c r="DS23" s="399"/>
      <c r="DT23" s="399"/>
      <c r="DU23" s="399"/>
      <c r="DV23" s="399">
        <v>11646.074458249786</v>
      </c>
      <c r="DW23" s="399">
        <v>0</v>
      </c>
      <c r="DX23" s="399">
        <v>0</v>
      </c>
      <c r="DY23" s="399">
        <v>-2242.2724800000015</v>
      </c>
      <c r="DZ23" s="399">
        <v>0</v>
      </c>
      <c r="EA23" s="399">
        <v>0</v>
      </c>
      <c r="EB23" s="399">
        <v>0</v>
      </c>
      <c r="EC23" s="399">
        <v>-2069.4371803550875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229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954</v>
      </c>
      <c r="C24" s="399" t="s">
        <v>2336</v>
      </c>
      <c r="D24" s="399" t="s">
        <v>2349</v>
      </c>
      <c r="E24" s="399" t="s">
        <v>2350</v>
      </c>
      <c r="F24" s="399" t="s">
        <v>2351</v>
      </c>
      <c r="G24" s="399" t="s">
        <v>1237</v>
      </c>
      <c r="H24" s="399" t="s">
        <v>1237</v>
      </c>
      <c r="I24" s="399" t="s">
        <v>1237</v>
      </c>
      <c r="J24" s="399" t="s">
        <v>2337</v>
      </c>
      <c r="K24" s="788">
        <v>44440</v>
      </c>
      <c r="L24" s="399">
        <v>0</v>
      </c>
      <c r="M24" s="399">
        <v>0</v>
      </c>
      <c r="N24" s="399">
        <v>83.29</v>
      </c>
      <c r="O24" s="399">
        <v>83.29</v>
      </c>
      <c r="P24" s="399">
        <v>83.29</v>
      </c>
      <c r="Q24" s="399">
        <v>83.29</v>
      </c>
      <c r="R24" s="399"/>
      <c r="S24" s="399">
        <v>388.92</v>
      </c>
      <c r="T24" s="399">
        <v>65.989999999999995</v>
      </c>
      <c r="U24" s="399"/>
      <c r="V24" s="399">
        <v>37889.4539</v>
      </c>
      <c r="W24" s="399">
        <v>37889.4539</v>
      </c>
      <c r="X24" s="399">
        <v>33396.791300000004</v>
      </c>
      <c r="Y24" s="399">
        <v>0</v>
      </c>
      <c r="Z24" s="399">
        <v>2789.5639860339879</v>
      </c>
      <c r="AA24" s="399">
        <v>0</v>
      </c>
      <c r="AB24" s="399">
        <v>0</v>
      </c>
      <c r="AC24" s="399">
        <v>0</v>
      </c>
      <c r="AD24" s="399">
        <v>4926.3174772386583</v>
      </c>
      <c r="AE24" s="399">
        <v>23333.661996815681</v>
      </c>
      <c r="AF24" s="399">
        <v>5495.9417413720721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431.0777437717623</v>
      </c>
      <c r="AM24" s="399"/>
      <c r="AN24" s="399">
        <v>98.549920143410418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814.14537652285935</v>
      </c>
      <c r="BH24" s="399">
        <v>0</v>
      </c>
      <c r="BI24" s="399">
        <v>0</v>
      </c>
      <c r="BJ24" s="399">
        <v>0</v>
      </c>
      <c r="BK24" s="399">
        <v>14269.29</v>
      </c>
      <c r="BL24" s="399">
        <v>2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6310.087117894931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33396.791300000004</v>
      </c>
      <c r="CJ24" s="399">
        <v>-4492.6925999999949</v>
      </c>
      <c r="CK24" s="399"/>
      <c r="CL24" s="399"/>
      <c r="CM24" s="399"/>
      <c r="CN24" s="399"/>
      <c r="CO24" s="399">
        <v>-4492.6626000000006</v>
      </c>
      <c r="CP24" s="399">
        <v>0</v>
      </c>
      <c r="CQ24" s="399">
        <v>30</v>
      </c>
      <c r="CR24" s="399">
        <v>-346.24303330789007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-26.356684661803229</v>
      </c>
      <c r="DA24" s="399">
        <v>0</v>
      </c>
      <c r="DB24" s="399">
        <v>0</v>
      </c>
      <c r="DC24" s="399">
        <v>0</v>
      </c>
      <c r="DD24" s="399">
        <v>0</v>
      </c>
      <c r="DE24" s="399">
        <v>0</v>
      </c>
      <c r="DF24" s="399">
        <v>0</v>
      </c>
      <c r="DG24" s="399">
        <v>0</v>
      </c>
      <c r="DH24" s="399">
        <v>0</v>
      </c>
      <c r="DI24" s="399">
        <v>-275.0015365833151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-36.735714430814994</v>
      </c>
      <c r="DP24" s="399">
        <v>-8.1490976319556268</v>
      </c>
      <c r="DQ24" s="399">
        <v>0</v>
      </c>
      <c r="DR24" s="399">
        <v>0</v>
      </c>
      <c r="DS24" s="399"/>
      <c r="DT24" s="399"/>
      <c r="DU24" s="399"/>
      <c r="DV24" s="399">
        <v>23333.661996815681</v>
      </c>
      <c r="DW24" s="399">
        <v>0</v>
      </c>
      <c r="DX24" s="399">
        <v>0</v>
      </c>
      <c r="DY24" s="399">
        <v>-4492.6625999999997</v>
      </c>
      <c r="DZ24" s="399">
        <v>0</v>
      </c>
      <c r="EA24" s="399">
        <v>0</v>
      </c>
      <c r="EB24" s="399">
        <v>0</v>
      </c>
      <c r="EC24" s="399">
        <v>-4146.2509846691573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229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954</v>
      </c>
      <c r="C25" s="399" t="s">
        <v>2336</v>
      </c>
      <c r="D25" s="399" t="s">
        <v>1822</v>
      </c>
      <c r="E25" s="399" t="s">
        <v>919</v>
      </c>
      <c r="F25" s="399" t="s">
        <v>2352</v>
      </c>
      <c r="G25" s="399" t="s">
        <v>1237</v>
      </c>
      <c r="H25" s="399" t="s">
        <v>1237</v>
      </c>
      <c r="I25" s="399" t="s">
        <v>1237</v>
      </c>
      <c r="J25" s="399" t="s">
        <v>2337</v>
      </c>
      <c r="K25" s="788">
        <v>44440</v>
      </c>
      <c r="L25" s="399">
        <v>0</v>
      </c>
      <c r="M25" s="399">
        <v>0</v>
      </c>
      <c r="N25" s="399">
        <v>4.5170000000000003</v>
      </c>
      <c r="O25" s="399">
        <v>4.2459800000000003</v>
      </c>
      <c r="P25" s="399">
        <v>4.5170000000000003</v>
      </c>
      <c r="Q25" s="399">
        <v>4.2459800000000003</v>
      </c>
      <c r="R25" s="399"/>
      <c r="S25" s="399">
        <v>707.13</v>
      </c>
      <c r="T25" s="399">
        <v>119.97</v>
      </c>
      <c r="U25" s="399"/>
      <c r="V25" s="399">
        <v>3736.0107000000003</v>
      </c>
      <c r="W25" s="399">
        <v>3736.0107000000003</v>
      </c>
      <c r="X25" s="399">
        <v>3293.0285099999996</v>
      </c>
      <c r="Y25" s="399">
        <v>0</v>
      </c>
      <c r="Z25" s="399">
        <v>275.06217105437753</v>
      </c>
      <c r="AA25" s="399">
        <v>0</v>
      </c>
      <c r="AB25" s="399">
        <v>0</v>
      </c>
      <c r="AC25" s="399">
        <v>0</v>
      </c>
      <c r="AD25" s="399">
        <v>485.7546151930722</v>
      </c>
      <c r="AE25" s="399">
        <v>2300.7924391145157</v>
      </c>
      <c r="AF25" s="399">
        <v>541.92184690463057</v>
      </c>
      <c r="AG25" s="399">
        <v>0</v>
      </c>
      <c r="AH25" s="399">
        <v>0</v>
      </c>
      <c r="AI25" s="399">
        <v>0</v>
      </c>
      <c r="AJ25" s="399">
        <v>0</v>
      </c>
      <c r="AK25" s="399">
        <v>0</v>
      </c>
      <c r="AL25" s="399">
        <v>42.505990430304863</v>
      </c>
      <c r="AM25" s="399"/>
      <c r="AN25" s="399">
        <v>9.7174164592013437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80.277991808549729</v>
      </c>
      <c r="BH25" s="399">
        <v>0</v>
      </c>
      <c r="BI25" s="399">
        <v>0</v>
      </c>
      <c r="BJ25" s="399">
        <v>0</v>
      </c>
      <c r="BK25" s="399">
        <v>1148.1300000000001</v>
      </c>
      <c r="BL25" s="399">
        <v>7</v>
      </c>
      <c r="BM25" s="399"/>
      <c r="BN25" s="399"/>
      <c r="BO25" s="399"/>
      <c r="BP25" s="399"/>
      <c r="BQ25" s="399">
        <v>197.58171060000001</v>
      </c>
      <c r="BR25" s="399"/>
      <c r="BS25" s="399"/>
      <c r="BT25" s="399"/>
      <c r="BU25" s="399"/>
      <c r="BV25" s="399">
        <v>622.19983871318027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3098.3774999999996</v>
      </c>
      <c r="CJ25" s="399">
        <v>-413.50255800000105</v>
      </c>
      <c r="CK25" s="399"/>
      <c r="CL25" s="399"/>
      <c r="CM25" s="399"/>
      <c r="CN25" s="399"/>
      <c r="CO25" s="399">
        <v>-442.98219000000029</v>
      </c>
      <c r="CP25" s="399">
        <v>0</v>
      </c>
      <c r="CQ25" s="399">
        <v>30</v>
      </c>
      <c r="CR25" s="399">
        <v>-34.140948524905752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-2.5988745700632307</v>
      </c>
      <c r="DA25" s="399">
        <v>0</v>
      </c>
      <c r="DB25" s="399">
        <v>0</v>
      </c>
      <c r="DC25" s="399">
        <v>0</v>
      </c>
      <c r="DD25" s="399">
        <v>0</v>
      </c>
      <c r="DE25" s="399">
        <v>0</v>
      </c>
      <c r="DF25" s="399">
        <v>0</v>
      </c>
      <c r="DG25" s="399">
        <v>0</v>
      </c>
      <c r="DH25" s="399">
        <v>0</v>
      </c>
      <c r="DI25" s="399">
        <v>-27.11625188545662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-3.6222884354553884</v>
      </c>
      <c r="DP25" s="399">
        <v>-0.80353363393055943</v>
      </c>
      <c r="DQ25" s="399">
        <v>0</v>
      </c>
      <c r="DR25" s="399">
        <v>0</v>
      </c>
      <c r="DS25" s="399"/>
      <c r="DT25" s="399"/>
      <c r="DU25" s="399"/>
      <c r="DV25" s="399">
        <v>2300.7924391145157</v>
      </c>
      <c r="DW25" s="399">
        <v>0</v>
      </c>
      <c r="DX25" s="399">
        <v>0</v>
      </c>
      <c r="DY25" s="399">
        <v>-442.98219000000063</v>
      </c>
      <c r="DZ25" s="399">
        <v>0</v>
      </c>
      <c r="EA25" s="399">
        <v>0</v>
      </c>
      <c r="EB25" s="399">
        <v>0</v>
      </c>
      <c r="EC25" s="399">
        <v>-408.83693770398554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229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954</v>
      </c>
      <c r="C26" s="399" t="s">
        <v>2353</v>
      </c>
      <c r="D26" s="399" t="s">
        <v>533</v>
      </c>
      <c r="E26" s="399" t="s">
        <v>919</v>
      </c>
      <c r="F26" s="399" t="s">
        <v>2352</v>
      </c>
      <c r="G26" s="399" t="s">
        <v>1237</v>
      </c>
      <c r="H26" s="399" t="s">
        <v>1237</v>
      </c>
      <c r="I26" s="399" t="s">
        <v>891</v>
      </c>
      <c r="J26" s="399" t="s">
        <v>2337</v>
      </c>
      <c r="K26" s="788">
        <v>44440</v>
      </c>
      <c r="L26" s="399">
        <v>100</v>
      </c>
      <c r="M26" s="399">
        <v>94</v>
      </c>
      <c r="N26" s="399">
        <v>4.6870000000000003</v>
      </c>
      <c r="O26" s="399">
        <v>4.40578</v>
      </c>
      <c r="P26" s="399">
        <v>4.6870000000000003</v>
      </c>
      <c r="Q26" s="399">
        <v>4.40578</v>
      </c>
      <c r="R26" s="399">
        <v>134.72</v>
      </c>
      <c r="S26" s="399">
        <v>72.13</v>
      </c>
      <c r="T26" s="399">
        <v>119.97</v>
      </c>
      <c r="U26" s="399">
        <v>13472</v>
      </c>
      <c r="V26" s="399">
        <v>900.37270000000001</v>
      </c>
      <c r="W26" s="399">
        <v>14372.3727</v>
      </c>
      <c r="X26" s="399">
        <v>12485.828869999999</v>
      </c>
      <c r="Y26" s="399">
        <v>0</v>
      </c>
      <c r="Z26" s="399">
        <v>248.31044150691258</v>
      </c>
      <c r="AA26" s="399">
        <v>0</v>
      </c>
      <c r="AB26" s="399">
        <v>0</v>
      </c>
      <c r="AC26" s="399">
        <v>0</v>
      </c>
      <c r="AD26" s="399">
        <v>3105.7372988894399</v>
      </c>
      <c r="AE26" s="399">
        <v>10366.6968720891</v>
      </c>
      <c r="AF26" s="399">
        <v>562.3174001421304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44.105728834810471</v>
      </c>
      <c r="AM26" s="399"/>
      <c r="AN26" s="399">
        <v>3.9405108490955456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41.732332786821097</v>
      </c>
      <c r="BH26" s="399">
        <v>0</v>
      </c>
      <c r="BI26" s="399">
        <v>0</v>
      </c>
      <c r="BJ26" s="399">
        <v>0</v>
      </c>
      <c r="BK26" s="399">
        <v>0</v>
      </c>
      <c r="BL26" s="399">
        <v>0</v>
      </c>
      <c r="BM26" s="399"/>
      <c r="BN26" s="399"/>
      <c r="BO26" s="399"/>
      <c r="BP26" s="399"/>
      <c r="BQ26" s="399">
        <v>749.14973220000002</v>
      </c>
      <c r="BR26" s="399"/>
      <c r="BS26" s="399"/>
      <c r="BT26" s="399"/>
      <c r="BU26" s="399"/>
      <c r="BV26" s="399">
        <v>604.04973292895147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11737.464099999999</v>
      </c>
      <c r="CJ26" s="399">
        <v>-1772.5962380000019</v>
      </c>
      <c r="CK26" s="399"/>
      <c r="CL26" s="399"/>
      <c r="CM26" s="399"/>
      <c r="CN26" s="399"/>
      <c r="CO26" s="399">
        <v>-1886.5438299999996</v>
      </c>
      <c r="CP26" s="399">
        <v>0</v>
      </c>
      <c r="CQ26" s="399">
        <v>30</v>
      </c>
      <c r="CR26" s="399">
        <v>-45.179715467818369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-16.61625321702013</v>
      </c>
      <c r="DA26" s="399">
        <v>0</v>
      </c>
      <c r="DB26" s="399">
        <v>0</v>
      </c>
      <c r="DC26" s="399">
        <v>0</v>
      </c>
      <c r="DD26" s="399">
        <v>0</v>
      </c>
      <c r="DE26" s="399">
        <v>0</v>
      </c>
      <c r="DF26" s="399">
        <v>0</v>
      </c>
      <c r="DG26" s="399">
        <v>0</v>
      </c>
      <c r="DH26" s="399">
        <v>0</v>
      </c>
      <c r="DI26" s="399">
        <v>-24.479005789419261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-3.7586154299268131</v>
      </c>
      <c r="DP26" s="399">
        <v>-0.32584103145217247</v>
      </c>
      <c r="DQ26" s="399">
        <v>0</v>
      </c>
      <c r="DR26" s="399">
        <v>0</v>
      </c>
      <c r="DS26" s="399"/>
      <c r="DT26" s="399"/>
      <c r="DU26" s="399">
        <v>10366.6968720891</v>
      </c>
      <c r="DV26" s="399">
        <v>0</v>
      </c>
      <c r="DW26" s="399">
        <v>0</v>
      </c>
      <c r="DX26" s="399">
        <v>0</v>
      </c>
      <c r="DY26" s="399">
        <v>-1886.5438300000005</v>
      </c>
      <c r="DZ26" s="399">
        <v>0</v>
      </c>
      <c r="EA26" s="399">
        <v>0</v>
      </c>
      <c r="EB26" s="399">
        <v>0</v>
      </c>
      <c r="EC26" s="399">
        <v>-1842.0995006926987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229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954</v>
      </c>
      <c r="C27" s="399" t="s">
        <v>2353</v>
      </c>
      <c r="D27" s="399" t="s">
        <v>533</v>
      </c>
      <c r="E27" s="399" t="s">
        <v>919</v>
      </c>
      <c r="F27" s="399" t="s">
        <v>2352</v>
      </c>
      <c r="G27" s="399" t="s">
        <v>1237</v>
      </c>
      <c r="H27" s="399" t="s">
        <v>1237</v>
      </c>
      <c r="I27" s="399" t="s">
        <v>2322</v>
      </c>
      <c r="J27" s="399" t="s">
        <v>2337</v>
      </c>
      <c r="K27" s="788">
        <v>44440</v>
      </c>
      <c r="L27" s="399">
        <v>100</v>
      </c>
      <c r="M27" s="399">
        <v>94</v>
      </c>
      <c r="N27" s="399">
        <v>40.451000000000001</v>
      </c>
      <c r="O27" s="399">
        <v>38.023940000000003</v>
      </c>
      <c r="P27" s="399">
        <v>40.451000000000001</v>
      </c>
      <c r="Q27" s="399">
        <v>38.023940000000003</v>
      </c>
      <c r="R27" s="399">
        <v>46.29</v>
      </c>
      <c r="S27" s="399">
        <v>72.13</v>
      </c>
      <c r="T27" s="399">
        <v>119.97</v>
      </c>
      <c r="U27" s="399">
        <v>4629</v>
      </c>
      <c r="V27" s="399">
        <v>7770.6370999999999</v>
      </c>
      <c r="W27" s="399">
        <v>12399.6371</v>
      </c>
      <c r="X27" s="399">
        <v>11639.290510000001</v>
      </c>
      <c r="Y27" s="399">
        <v>0</v>
      </c>
      <c r="Z27" s="399">
        <v>2143.0351332187156</v>
      </c>
      <c r="AA27" s="399">
        <v>0</v>
      </c>
      <c r="AB27" s="399">
        <v>0</v>
      </c>
      <c r="AC27" s="399">
        <v>0</v>
      </c>
      <c r="AD27" s="399">
        <v>1791.3012373515901</v>
      </c>
      <c r="AE27" s="399">
        <v>2837.3428309380402</v>
      </c>
      <c r="AF27" s="399">
        <v>4853.0619059418214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380.65304823915471</v>
      </c>
      <c r="AM27" s="399"/>
      <c r="AN27" s="399">
        <v>34.008449830758245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360.16953137608283</v>
      </c>
      <c r="BH27" s="399">
        <v>0</v>
      </c>
      <c r="BI27" s="399">
        <v>0</v>
      </c>
      <c r="BJ27" s="399">
        <v>0</v>
      </c>
      <c r="BK27" s="399">
        <v>0</v>
      </c>
      <c r="BL27" s="399">
        <v>0</v>
      </c>
      <c r="BM27" s="399"/>
      <c r="BN27" s="399"/>
      <c r="BO27" s="399"/>
      <c r="BP27" s="399"/>
      <c r="BQ27" s="399">
        <v>698.35743059999959</v>
      </c>
      <c r="BR27" s="399"/>
      <c r="BS27" s="399"/>
      <c r="BT27" s="399"/>
      <c r="BU27" s="399"/>
      <c r="BV27" s="399">
        <v>5213.2314373179042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10940.200199999999</v>
      </c>
      <c r="CJ27" s="399">
        <v>-715.48867400000199</v>
      </c>
      <c r="CK27" s="399"/>
      <c r="CL27" s="399"/>
      <c r="CM27" s="399"/>
      <c r="CN27" s="399"/>
      <c r="CO27" s="399">
        <v>-760.34658999999954</v>
      </c>
      <c r="CP27" s="399">
        <v>0</v>
      </c>
      <c r="CQ27" s="399">
        <v>30</v>
      </c>
      <c r="CR27" s="399">
        <v>-256.09980934123632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-9.5837838436800666</v>
      </c>
      <c r="DA27" s="399">
        <v>0</v>
      </c>
      <c r="DB27" s="399">
        <v>0</v>
      </c>
      <c r="DC27" s="399">
        <v>0</v>
      </c>
      <c r="DD27" s="399">
        <v>0</v>
      </c>
      <c r="DE27" s="399">
        <v>0</v>
      </c>
      <c r="DF27" s="399">
        <v>0</v>
      </c>
      <c r="DG27" s="399">
        <v>0</v>
      </c>
      <c r="DH27" s="399">
        <v>0</v>
      </c>
      <c r="DI27" s="399">
        <v>-211.26525777422626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-32.438607372726551</v>
      </c>
      <c r="DP27" s="399">
        <v>-2.8121603506020527</v>
      </c>
      <c r="DQ27" s="399">
        <v>0</v>
      </c>
      <c r="DR27" s="399">
        <v>0</v>
      </c>
      <c r="DS27" s="399"/>
      <c r="DT27" s="399"/>
      <c r="DU27" s="399">
        <v>2837.3428309380402</v>
      </c>
      <c r="DV27" s="399">
        <v>0</v>
      </c>
      <c r="DW27" s="399">
        <v>0</v>
      </c>
      <c r="DX27" s="399">
        <v>0</v>
      </c>
      <c r="DY27" s="399">
        <v>-760.3465899999992</v>
      </c>
      <c r="DZ27" s="399">
        <v>0</v>
      </c>
      <c r="EA27" s="399">
        <v>0</v>
      </c>
      <c r="EB27" s="399">
        <v>0</v>
      </c>
      <c r="EC27" s="399">
        <v>-504.17870577822032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0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229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954</v>
      </c>
      <c r="C28" s="399" t="s">
        <v>2353</v>
      </c>
      <c r="D28" s="399" t="s">
        <v>533</v>
      </c>
      <c r="E28" s="399" t="s">
        <v>919</v>
      </c>
      <c r="F28" s="399" t="s">
        <v>2352</v>
      </c>
      <c r="G28" s="399" t="s">
        <v>1237</v>
      </c>
      <c r="H28" s="399" t="s">
        <v>1237</v>
      </c>
      <c r="I28" s="399" t="s">
        <v>1237</v>
      </c>
      <c r="J28" s="399" t="s">
        <v>2337</v>
      </c>
      <c r="K28" s="788">
        <v>44440</v>
      </c>
      <c r="L28" s="399">
        <v>0</v>
      </c>
      <c r="M28" s="399">
        <v>0</v>
      </c>
      <c r="N28" s="399">
        <v>0</v>
      </c>
      <c r="O28" s="399">
        <v>0</v>
      </c>
      <c r="P28" s="399">
        <v>0</v>
      </c>
      <c r="Q28" s="399">
        <v>0</v>
      </c>
      <c r="R28" s="399"/>
      <c r="S28" s="399"/>
      <c r="T28" s="399"/>
      <c r="U28" s="399"/>
      <c r="V28" s="399"/>
      <c r="W28" s="399"/>
      <c r="X28" s="399"/>
      <c r="Y28" s="399"/>
      <c r="Z28" s="399"/>
      <c r="AA28" s="399">
        <v>0</v>
      </c>
      <c r="AB28" s="399"/>
      <c r="AC28" s="399"/>
      <c r="AD28" s="399"/>
      <c r="AE28" s="399"/>
      <c r="AF28" s="399"/>
      <c r="AG28" s="399"/>
      <c r="AH28" s="399"/>
      <c r="AI28" s="399"/>
      <c r="AJ28" s="399"/>
      <c r="AK28" s="399"/>
      <c r="AL28" s="399"/>
      <c r="AM28" s="399"/>
      <c r="AN28" s="399"/>
      <c r="AO28" s="399"/>
      <c r="AP28" s="399"/>
      <c r="AQ28" s="399"/>
      <c r="AR28" s="399"/>
      <c r="AS28" s="399"/>
      <c r="AT28" s="399"/>
      <c r="AU28" s="399"/>
      <c r="AV28" s="399"/>
      <c r="AW28" s="399"/>
      <c r="AX28" s="399"/>
      <c r="AY28" s="399"/>
      <c r="AZ28" s="399">
        <v>0</v>
      </c>
      <c r="BA28" s="399"/>
      <c r="BB28" s="399"/>
      <c r="BC28" s="399"/>
      <c r="BD28" s="399"/>
      <c r="BE28" s="399"/>
      <c r="BF28" s="399"/>
      <c r="BG28" s="399"/>
      <c r="BH28" s="399"/>
      <c r="BI28" s="399">
        <v>0</v>
      </c>
      <c r="BJ28" s="399">
        <v>0</v>
      </c>
      <c r="BK28" s="399">
        <v>9412.5</v>
      </c>
      <c r="BL28" s="399">
        <v>1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/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/>
      <c r="CJ28" s="399">
        <v>-0.03</v>
      </c>
      <c r="CK28" s="399"/>
      <c r="CL28" s="399"/>
      <c r="CM28" s="399"/>
      <c r="CN28" s="399"/>
      <c r="CO28" s="399">
        <v>0</v>
      </c>
      <c r="CP28" s="399">
        <v>0</v>
      </c>
      <c r="CQ28" s="399">
        <v>30</v>
      </c>
      <c r="CR28" s="399"/>
      <c r="CS28" s="399"/>
      <c r="CT28" s="399"/>
      <c r="CU28" s="399"/>
      <c r="CV28" s="399"/>
      <c r="CW28" s="399"/>
      <c r="CX28" s="399"/>
      <c r="CY28" s="399"/>
      <c r="CZ28" s="399"/>
      <c r="DA28" s="399"/>
      <c r="DB28" s="399"/>
      <c r="DC28" s="399"/>
      <c r="DD28" s="399"/>
      <c r="DE28" s="399"/>
      <c r="DF28" s="399"/>
      <c r="DG28" s="399"/>
      <c r="DH28" s="399"/>
      <c r="DI28" s="399"/>
      <c r="DJ28" s="399"/>
      <c r="DK28" s="399">
        <v>0</v>
      </c>
      <c r="DL28" s="399"/>
      <c r="DM28" s="399"/>
      <c r="DN28" s="399"/>
      <c r="DO28" s="399"/>
      <c r="DP28" s="399"/>
      <c r="DQ28" s="399"/>
      <c r="DR28" s="399"/>
      <c r="DS28" s="399"/>
      <c r="DT28" s="399"/>
      <c r="DU28" s="399"/>
      <c r="DV28" s="399"/>
      <c r="DW28" s="399"/>
      <c r="DX28" s="399"/>
      <c r="DY28" s="399"/>
      <c r="DZ28" s="399"/>
      <c r="EA28" s="399"/>
      <c r="EB28" s="399"/>
      <c r="EC28" s="399"/>
      <c r="ED28" s="399"/>
      <c r="EE28" s="399"/>
      <c r="EF28" s="399"/>
      <c r="EG28" s="399"/>
      <c r="EH28" s="399"/>
      <c r="EI28" s="399"/>
      <c r="EJ28" s="399"/>
      <c r="EK28" s="399"/>
      <c r="EL28" s="399"/>
      <c r="EM28" s="399"/>
      <c r="EN28" s="399"/>
      <c r="EO28" s="399"/>
      <c r="EP28" s="399"/>
      <c r="EQ28" s="399"/>
      <c r="ER28" s="399"/>
      <c r="ES28" s="399"/>
      <c r="ET28" s="399"/>
      <c r="EU28" s="399"/>
      <c r="EV28" s="399">
        <v>229</v>
      </c>
      <c r="EW28" s="399"/>
      <c r="EX28" s="399"/>
      <c r="EY28" s="399"/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954</v>
      </c>
      <c r="C29" s="399" t="s">
        <v>2336</v>
      </c>
      <c r="D29" s="399" t="s">
        <v>1822</v>
      </c>
      <c r="E29" s="399" t="s">
        <v>2354</v>
      </c>
      <c r="F29" s="399" t="s">
        <v>1237</v>
      </c>
      <c r="G29" s="399" t="s">
        <v>1237</v>
      </c>
      <c r="H29" s="399" t="s">
        <v>1237</v>
      </c>
      <c r="I29" s="399" t="s">
        <v>1237</v>
      </c>
      <c r="J29" s="399" t="s">
        <v>2337</v>
      </c>
      <c r="K29" s="788">
        <v>44440</v>
      </c>
      <c r="L29" s="399">
        <v>0</v>
      </c>
      <c r="M29" s="399">
        <v>0</v>
      </c>
      <c r="N29" s="399">
        <v>3.7549999999999999</v>
      </c>
      <c r="O29" s="399">
        <v>3.7549999999999999</v>
      </c>
      <c r="P29" s="399">
        <v>3.7549999999999999</v>
      </c>
      <c r="Q29" s="399">
        <v>3.7549999999999999</v>
      </c>
      <c r="R29" s="399"/>
      <c r="S29" s="399">
        <v>707.13</v>
      </c>
      <c r="T29" s="399">
        <v>119.97</v>
      </c>
      <c r="U29" s="399"/>
      <c r="V29" s="399">
        <v>3105.7604999999999</v>
      </c>
      <c r="W29" s="399">
        <v>3105.7604999999999</v>
      </c>
      <c r="X29" s="399">
        <v>2737.5076499999996</v>
      </c>
      <c r="Y29" s="399">
        <v>0</v>
      </c>
      <c r="Z29" s="399">
        <v>228.66027281584849</v>
      </c>
      <c r="AA29" s="399">
        <v>0</v>
      </c>
      <c r="AB29" s="399">
        <v>0</v>
      </c>
      <c r="AC29" s="399">
        <v>0</v>
      </c>
      <c r="AD29" s="399">
        <v>403.80973656187422</v>
      </c>
      <c r="AE29" s="399">
        <v>1912.6578722326778</v>
      </c>
      <c r="AF29" s="399">
        <v>450.50177886360137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35.335398287756199</v>
      </c>
      <c r="AM29" s="399"/>
      <c r="AN29" s="399">
        <v>8.0781268107817219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66.735412716649151</v>
      </c>
      <c r="BH29" s="399">
        <v>0</v>
      </c>
      <c r="BI29" s="399">
        <v>0</v>
      </c>
      <c r="BJ29" s="399">
        <v>0</v>
      </c>
      <c r="BK29" s="399">
        <v>1032.08</v>
      </c>
      <c r="BL29" s="399">
        <v>4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517.23719158025051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2741.1527999999994</v>
      </c>
      <c r="CJ29" s="399">
        <v>-364.63770000000113</v>
      </c>
      <c r="CK29" s="399"/>
      <c r="CL29" s="399"/>
      <c r="CM29" s="399"/>
      <c r="CN29" s="399"/>
      <c r="CO29" s="399">
        <v>-368.25285000000019</v>
      </c>
      <c r="CP29" s="399">
        <v>0</v>
      </c>
      <c r="CQ29" s="399">
        <v>30</v>
      </c>
      <c r="CR29" s="399">
        <v>-28.381505802749643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-2.1604547289323364</v>
      </c>
      <c r="DA29" s="399">
        <v>0</v>
      </c>
      <c r="DB29" s="399">
        <v>0</v>
      </c>
      <c r="DC29" s="399">
        <v>0</v>
      </c>
      <c r="DD29" s="399">
        <v>0</v>
      </c>
      <c r="DE29" s="399">
        <v>0</v>
      </c>
      <c r="DF29" s="399">
        <v>0</v>
      </c>
      <c r="DG29" s="399">
        <v>0</v>
      </c>
      <c r="DH29" s="399">
        <v>0</v>
      </c>
      <c r="DI29" s="399">
        <v>-22.541847648857583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-3.0112227308246631</v>
      </c>
      <c r="DP29" s="399">
        <v>-0.6679806941353208</v>
      </c>
      <c r="DQ29" s="399">
        <v>0</v>
      </c>
      <c r="DR29" s="399">
        <v>0</v>
      </c>
      <c r="DS29" s="399"/>
      <c r="DT29" s="399"/>
      <c r="DU29" s="399"/>
      <c r="DV29" s="399">
        <v>1912.6578722326778</v>
      </c>
      <c r="DW29" s="399">
        <v>0</v>
      </c>
      <c r="DX29" s="399">
        <v>0</v>
      </c>
      <c r="DY29" s="399">
        <v>-368.25285000000031</v>
      </c>
      <c r="DZ29" s="399">
        <v>0</v>
      </c>
      <c r="EA29" s="399">
        <v>0</v>
      </c>
      <c r="EB29" s="399">
        <v>0</v>
      </c>
      <c r="EC29" s="399">
        <v>-339.86776645527266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229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954</v>
      </c>
      <c r="C30" s="399" t="s">
        <v>2336</v>
      </c>
      <c r="D30" s="399" t="s">
        <v>1819</v>
      </c>
      <c r="E30" s="399" t="s">
        <v>887</v>
      </c>
      <c r="F30" s="399" t="s">
        <v>887</v>
      </c>
      <c r="G30" s="399" t="s">
        <v>1237</v>
      </c>
      <c r="H30" s="399" t="s">
        <v>1237</v>
      </c>
      <c r="I30" s="399" t="s">
        <v>1237</v>
      </c>
      <c r="J30" s="399" t="s">
        <v>2337</v>
      </c>
      <c r="K30" s="788">
        <v>44470</v>
      </c>
      <c r="L30" s="399">
        <v>0</v>
      </c>
      <c r="M30" s="399">
        <v>0</v>
      </c>
      <c r="N30" s="399">
        <v>529.947</v>
      </c>
      <c r="O30" s="399">
        <v>529.947</v>
      </c>
      <c r="P30" s="399">
        <v>529.947</v>
      </c>
      <c r="Q30" s="399">
        <v>529.947</v>
      </c>
      <c r="R30" s="399"/>
      <c r="S30" s="399">
        <v>707.13</v>
      </c>
      <c r="T30" s="399">
        <v>119.97</v>
      </c>
      <c r="U30" s="399"/>
      <c r="V30" s="399">
        <v>438319.16369999998</v>
      </c>
      <c r="W30" s="399">
        <v>438319.16369999998</v>
      </c>
      <c r="X30" s="399">
        <v>386347.26140999998</v>
      </c>
      <c r="Y30" s="399">
        <v>0</v>
      </c>
      <c r="Z30" s="399">
        <v>32271.058747787072</v>
      </c>
      <c r="AA30" s="399">
        <v>0</v>
      </c>
      <c r="AB30" s="399">
        <v>0</v>
      </c>
      <c r="AC30" s="399">
        <v>0</v>
      </c>
      <c r="AD30" s="399">
        <v>56990.082146938897</v>
      </c>
      <c r="AE30" s="399">
        <v>269935.36655555019</v>
      </c>
      <c r="AF30" s="399">
        <v>63579.777950313975</v>
      </c>
      <c r="AG30" s="399">
        <v>0</v>
      </c>
      <c r="AH30" s="399">
        <v>0</v>
      </c>
      <c r="AI30" s="399">
        <v>0</v>
      </c>
      <c r="AJ30" s="399">
        <v>0</v>
      </c>
      <c r="AK30" s="399">
        <v>0</v>
      </c>
      <c r="AL30" s="399">
        <v>4986.9209897207811</v>
      </c>
      <c r="AM30" s="399"/>
      <c r="AN30" s="399">
        <v>1140.0743193058167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9418.4372204926949</v>
      </c>
      <c r="BH30" s="399">
        <v>0</v>
      </c>
      <c r="BI30" s="399">
        <v>0</v>
      </c>
      <c r="BJ30" s="399">
        <v>0</v>
      </c>
      <c r="BK30" s="399">
        <v>91902.14</v>
      </c>
      <c r="BL30" s="399">
        <v>3112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>
        <v>72998.215170806667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386349.4485</v>
      </c>
      <c r="CJ30" s="399">
        <v>-51969.745200000005</v>
      </c>
      <c r="CK30" s="399"/>
      <c r="CL30" s="399"/>
      <c r="CM30" s="399"/>
      <c r="CN30" s="399"/>
      <c r="CO30" s="399">
        <v>-51971.902290000027</v>
      </c>
      <c r="CP30" s="399">
        <v>0</v>
      </c>
      <c r="CQ30" s="399">
        <v>31</v>
      </c>
      <c r="CR30" s="399">
        <v>-4005.5110134886345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-304.90719100758724</v>
      </c>
      <c r="DA30" s="399">
        <v>0</v>
      </c>
      <c r="DB30" s="399">
        <v>0</v>
      </c>
      <c r="DC30" s="399">
        <v>0</v>
      </c>
      <c r="DD30" s="399">
        <v>0</v>
      </c>
      <c r="DE30" s="399">
        <v>0</v>
      </c>
      <c r="DF30" s="399">
        <v>0</v>
      </c>
      <c r="DG30" s="399">
        <v>0</v>
      </c>
      <c r="DH30" s="399">
        <v>0</v>
      </c>
      <c r="DI30" s="399">
        <v>-3181.3540708306609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-424.97695140674659</v>
      </c>
      <c r="DP30" s="399">
        <v>-94.272800243656775</v>
      </c>
      <c r="DQ30" s="399">
        <v>0</v>
      </c>
      <c r="DR30" s="399">
        <v>0</v>
      </c>
      <c r="DS30" s="399"/>
      <c r="DT30" s="399"/>
      <c r="DU30" s="399"/>
      <c r="DV30" s="399">
        <v>269935.36655555019</v>
      </c>
      <c r="DW30" s="399">
        <v>0</v>
      </c>
      <c r="DX30" s="399">
        <v>0</v>
      </c>
      <c r="DY30" s="399">
        <v>-51971.902289999998</v>
      </c>
      <c r="DZ30" s="399">
        <v>0</v>
      </c>
      <c r="EA30" s="399">
        <v>0</v>
      </c>
      <c r="EB30" s="399">
        <v>0</v>
      </c>
      <c r="EC30" s="399">
        <v>-47965.886346117797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0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229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2338</v>
      </c>
      <c r="C31" s="399" t="s">
        <v>2336</v>
      </c>
      <c r="D31" s="399" t="s">
        <v>1819</v>
      </c>
      <c r="E31" s="399" t="s">
        <v>887</v>
      </c>
      <c r="F31" s="399" t="s">
        <v>887</v>
      </c>
      <c r="G31" s="399" t="s">
        <v>1237</v>
      </c>
      <c r="H31" s="399" t="s">
        <v>1237</v>
      </c>
      <c r="I31" s="399" t="s">
        <v>1237</v>
      </c>
      <c r="J31" s="399" t="s">
        <v>2337</v>
      </c>
      <c r="K31" s="788">
        <v>44470</v>
      </c>
      <c r="L31" s="399">
        <v>0</v>
      </c>
      <c r="M31" s="399">
        <v>0</v>
      </c>
      <c r="N31" s="399">
        <v>-7.6999999999999999E-2</v>
      </c>
      <c r="O31" s="399">
        <v>-7.6999999999999999E-2</v>
      </c>
      <c r="P31" s="399">
        <v>-7.6999999999999999E-2</v>
      </c>
      <c r="Q31" s="399">
        <v>-7.6999999999999999E-2</v>
      </c>
      <c r="R31" s="399"/>
      <c r="S31" s="399">
        <v>707.13</v>
      </c>
      <c r="T31" s="399">
        <v>119.97</v>
      </c>
      <c r="U31" s="399"/>
      <c r="V31" s="399">
        <v>-63.686700000000002</v>
      </c>
      <c r="W31" s="399">
        <v>-63.686700000000002</v>
      </c>
      <c r="X31" s="399">
        <v>-56.135309999999997</v>
      </c>
      <c r="Y31" s="399">
        <v>0</v>
      </c>
      <c r="Z31" s="399">
        <v>-4.6889057275154018</v>
      </c>
      <c r="AA31" s="399">
        <v>0</v>
      </c>
      <c r="AB31" s="399">
        <v>0</v>
      </c>
      <c r="AC31" s="399">
        <v>0</v>
      </c>
      <c r="AD31" s="399">
        <v>-8.2805192317614686</v>
      </c>
      <c r="AE31" s="399">
        <v>-39.220947047114834</v>
      </c>
      <c r="AF31" s="399">
        <v>-9.2379858781617319</v>
      </c>
      <c r="AG31" s="399">
        <v>0</v>
      </c>
      <c r="AH31" s="399">
        <v>0</v>
      </c>
      <c r="AI31" s="399">
        <v>0</v>
      </c>
      <c r="AJ31" s="399">
        <v>0</v>
      </c>
      <c r="AK31" s="399">
        <v>0</v>
      </c>
      <c r="AL31" s="399">
        <v>-0.72458739498195135</v>
      </c>
      <c r="AM31" s="399"/>
      <c r="AN31" s="399">
        <v>-0.16565000384292747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-1.3684758399952024</v>
      </c>
      <c r="BH31" s="399">
        <v>0</v>
      </c>
      <c r="BI31" s="399">
        <v>0</v>
      </c>
      <c r="BJ31" s="399">
        <v>0</v>
      </c>
      <c r="BK31" s="399">
        <v>-9.07</v>
      </c>
      <c r="BL31" s="399">
        <v>0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-10.606461718156934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-58.322399999999995</v>
      </c>
      <c r="CJ31" s="399">
        <v>5.3343000000000131</v>
      </c>
      <c r="CK31" s="399"/>
      <c r="CL31" s="399"/>
      <c r="CM31" s="399"/>
      <c r="CN31" s="399"/>
      <c r="CO31" s="399">
        <v>7.551390000000004</v>
      </c>
      <c r="CP31" s="399">
        <v>0</v>
      </c>
      <c r="CQ31" s="399">
        <v>31</v>
      </c>
      <c r="CR31" s="399">
        <v>0.58199093124148149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4.4302267410861518E-2</v>
      </c>
      <c r="DA31" s="399">
        <v>0</v>
      </c>
      <c r="DB31" s="399">
        <v>0</v>
      </c>
      <c r="DC31" s="399">
        <v>0</v>
      </c>
      <c r="DD31" s="399">
        <v>0</v>
      </c>
      <c r="DE31" s="399">
        <v>0</v>
      </c>
      <c r="DF31" s="399">
        <v>0</v>
      </c>
      <c r="DG31" s="399">
        <v>0</v>
      </c>
      <c r="DH31" s="399">
        <v>0</v>
      </c>
      <c r="DI31" s="399">
        <v>0.46224294779281916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6.1748109260585604E-2</v>
      </c>
      <c r="DP31" s="399">
        <v>1.3697606777208993E-2</v>
      </c>
      <c r="DQ31" s="399">
        <v>0</v>
      </c>
      <c r="DR31" s="399">
        <v>0</v>
      </c>
      <c r="DS31" s="399"/>
      <c r="DT31" s="399"/>
      <c r="DU31" s="399"/>
      <c r="DV31" s="399">
        <v>-39.220947047114834</v>
      </c>
      <c r="DW31" s="399">
        <v>0</v>
      </c>
      <c r="DX31" s="399">
        <v>0</v>
      </c>
      <c r="DY31" s="399">
        <v>7.5513900000000049</v>
      </c>
      <c r="DZ31" s="399">
        <v>0</v>
      </c>
      <c r="EA31" s="399">
        <v>0</v>
      </c>
      <c r="EB31" s="399">
        <v>0</v>
      </c>
      <c r="EC31" s="399">
        <v>6.9693257036101173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229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2339</v>
      </c>
      <c r="C32" s="399" t="s">
        <v>2336</v>
      </c>
      <c r="D32" s="399" t="s">
        <v>1819</v>
      </c>
      <c r="E32" s="399" t="s">
        <v>887</v>
      </c>
      <c r="F32" s="399" t="s">
        <v>887</v>
      </c>
      <c r="G32" s="399" t="s">
        <v>1237</v>
      </c>
      <c r="H32" s="399" t="s">
        <v>1237</v>
      </c>
      <c r="I32" s="399" t="s">
        <v>1237</v>
      </c>
      <c r="J32" s="399" t="s">
        <v>2337</v>
      </c>
      <c r="K32" s="788">
        <v>44470</v>
      </c>
      <c r="L32" s="399">
        <v>0</v>
      </c>
      <c r="M32" s="399">
        <v>0</v>
      </c>
      <c r="N32" s="399">
        <v>4.8079999999999998</v>
      </c>
      <c r="O32" s="399">
        <v>4.8079999999999998</v>
      </c>
      <c r="P32" s="399">
        <v>4.8079999999999998</v>
      </c>
      <c r="Q32" s="399">
        <v>4.8079999999999998</v>
      </c>
      <c r="R32" s="399"/>
      <c r="S32" s="399">
        <v>707.13</v>
      </c>
      <c r="T32" s="399">
        <v>119.97</v>
      </c>
      <c r="U32" s="399"/>
      <c r="V32" s="399">
        <v>3976.6967999999997</v>
      </c>
      <c r="W32" s="399">
        <v>3976.6967999999997</v>
      </c>
      <c r="X32" s="399">
        <v>3505.1762399999998</v>
      </c>
      <c r="Y32" s="399">
        <v>0</v>
      </c>
      <c r="Z32" s="399">
        <v>292.78258101161106</v>
      </c>
      <c r="AA32" s="399">
        <v>0</v>
      </c>
      <c r="AB32" s="399">
        <v>0</v>
      </c>
      <c r="AC32" s="399">
        <v>0</v>
      </c>
      <c r="AD32" s="399">
        <v>517.04852553648232</v>
      </c>
      <c r="AE32" s="399">
        <v>2449.0170571756898</v>
      </c>
      <c r="AF32" s="399">
        <v>576.83423509352735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45.244366169782104</v>
      </c>
      <c r="AM32" s="399"/>
      <c r="AN32" s="399">
        <v>10.343444395802535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85.449764138921211</v>
      </c>
      <c r="BH32" s="399">
        <v>0</v>
      </c>
      <c r="BI32" s="399">
        <v>0</v>
      </c>
      <c r="BJ32" s="399">
        <v>0</v>
      </c>
      <c r="BK32" s="399">
        <v>3244</v>
      </c>
      <c r="BL32" s="399">
        <v>21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662.28399923244854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3506.6342999999993</v>
      </c>
      <c r="CJ32" s="399">
        <v>-470.09250000000111</v>
      </c>
      <c r="CK32" s="399"/>
      <c r="CL32" s="399"/>
      <c r="CM32" s="399"/>
      <c r="CN32" s="399"/>
      <c r="CO32" s="399">
        <v>-471.52056000000022</v>
      </c>
      <c r="CP32" s="399">
        <v>0</v>
      </c>
      <c r="CQ32" s="399">
        <v>31</v>
      </c>
      <c r="CR32" s="399">
        <v>-36.340420745571691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-2.7663026196288456</v>
      </c>
      <c r="DA32" s="399">
        <v>0</v>
      </c>
      <c r="DB32" s="399">
        <v>0</v>
      </c>
      <c r="DC32" s="399">
        <v>0</v>
      </c>
      <c r="DD32" s="399">
        <v>0</v>
      </c>
      <c r="DE32" s="399">
        <v>0</v>
      </c>
      <c r="DF32" s="399">
        <v>0</v>
      </c>
      <c r="DG32" s="399">
        <v>0</v>
      </c>
      <c r="DH32" s="399">
        <v>0</v>
      </c>
      <c r="DI32" s="399">
        <v>-28.86317003880356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-3.8556481730505894</v>
      </c>
      <c r="DP32" s="399">
        <v>-0.85529991408858308</v>
      </c>
      <c r="DQ32" s="399">
        <v>0</v>
      </c>
      <c r="DR32" s="399">
        <v>0</v>
      </c>
      <c r="DS32" s="399"/>
      <c r="DT32" s="399"/>
      <c r="DU32" s="399"/>
      <c r="DV32" s="399">
        <v>2449.0170571756898</v>
      </c>
      <c r="DW32" s="399">
        <v>0</v>
      </c>
      <c r="DX32" s="399">
        <v>0</v>
      </c>
      <c r="DY32" s="399">
        <v>-471.52055999999993</v>
      </c>
      <c r="DZ32" s="399">
        <v>0</v>
      </c>
      <c r="EA32" s="399">
        <v>0</v>
      </c>
      <c r="EB32" s="399">
        <v>0</v>
      </c>
      <c r="EC32" s="399">
        <v>-435.17555822022655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229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954</v>
      </c>
      <c r="C33" s="399" t="s">
        <v>2336</v>
      </c>
      <c r="D33" s="399" t="s">
        <v>1819</v>
      </c>
      <c r="E33" s="399" t="s">
        <v>887</v>
      </c>
      <c r="F33" s="399" t="s">
        <v>2340</v>
      </c>
      <c r="G33" s="399" t="s">
        <v>1237</v>
      </c>
      <c r="H33" s="399" t="s">
        <v>1237</v>
      </c>
      <c r="I33" s="399" t="s">
        <v>1237</v>
      </c>
      <c r="J33" s="399" t="s">
        <v>2337</v>
      </c>
      <c r="K33" s="788">
        <v>44470</v>
      </c>
      <c r="L33" s="399">
        <v>0</v>
      </c>
      <c r="M33" s="399">
        <v>0</v>
      </c>
      <c r="N33" s="399">
        <v>4.05</v>
      </c>
      <c r="O33" s="399">
        <v>4.05</v>
      </c>
      <c r="P33" s="399">
        <v>4.05</v>
      </c>
      <c r="Q33" s="399">
        <v>4.05</v>
      </c>
      <c r="R33" s="399"/>
      <c r="S33" s="399">
        <v>636.83000000000004</v>
      </c>
      <c r="T33" s="399">
        <v>119.97</v>
      </c>
      <c r="U33" s="399"/>
      <c r="V33" s="399">
        <v>3065.04</v>
      </c>
      <c r="W33" s="399">
        <v>3065.04</v>
      </c>
      <c r="X33" s="399">
        <v>2695.3964999999994</v>
      </c>
      <c r="Y33" s="399">
        <v>0</v>
      </c>
      <c r="Z33" s="399">
        <v>0</v>
      </c>
      <c r="AA33" s="399">
        <v>0</v>
      </c>
      <c r="AB33" s="399">
        <v>0</v>
      </c>
      <c r="AC33" s="399">
        <v>0</v>
      </c>
      <c r="AD33" s="399">
        <v>435.53380374849286</v>
      </c>
      <c r="AE33" s="399">
        <v>2062.9199420885075</v>
      </c>
      <c r="AF33" s="399">
        <v>485.89406242279244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0</v>
      </c>
      <c r="AM33" s="399"/>
      <c r="AN33" s="399">
        <v>8.7127599423877431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71.978274701046359</v>
      </c>
      <c r="BH33" s="399">
        <v>0</v>
      </c>
      <c r="BI33" s="399">
        <v>0</v>
      </c>
      <c r="BJ33" s="399">
        <v>0</v>
      </c>
      <c r="BK33" s="399">
        <v>128.63</v>
      </c>
      <c r="BL33" s="399">
        <v>7</v>
      </c>
      <c r="BM33" s="399"/>
      <c r="BN33" s="399"/>
      <c r="BO33" s="399"/>
      <c r="BP33" s="399"/>
      <c r="BQ33" s="399"/>
      <c r="BR33" s="399"/>
      <c r="BS33" s="399"/>
      <c r="BT33" s="399">
        <v>1751.9894999999997</v>
      </c>
      <c r="BU33" s="399"/>
      <c r="BV33" s="399">
        <v>557.87233712383886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943.40699999999993</v>
      </c>
      <c r="CJ33" s="399">
        <v>-129.38699999999994</v>
      </c>
      <c r="CK33" s="399"/>
      <c r="CL33" s="399"/>
      <c r="CM33" s="399"/>
      <c r="CN33" s="399"/>
      <c r="CO33" s="399">
        <v>-369.64350000000036</v>
      </c>
      <c r="CP33" s="399">
        <v>0</v>
      </c>
      <c r="CQ33" s="399">
        <v>31</v>
      </c>
      <c r="CR33" s="399">
        <v>-3.0506427332686599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-2.3301841949869413</v>
      </c>
      <c r="DA33" s="399">
        <v>0</v>
      </c>
      <c r="DB33" s="399">
        <v>0</v>
      </c>
      <c r="DC33" s="399">
        <v>0</v>
      </c>
      <c r="DD33" s="399">
        <v>0</v>
      </c>
      <c r="DE33" s="399">
        <v>0</v>
      </c>
      <c r="DF33" s="399">
        <v>0</v>
      </c>
      <c r="DG33" s="399">
        <v>0</v>
      </c>
      <c r="DH33" s="399">
        <v>0</v>
      </c>
      <c r="DI33" s="399">
        <v>0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0</v>
      </c>
      <c r="DP33" s="399">
        <v>-0.72045853828177187</v>
      </c>
      <c r="DQ33" s="399">
        <v>0</v>
      </c>
      <c r="DR33" s="399">
        <v>0</v>
      </c>
      <c r="DS33" s="399"/>
      <c r="DT33" s="399"/>
      <c r="DU33" s="399"/>
      <c r="DV33" s="399">
        <v>2062.9199420885075</v>
      </c>
      <c r="DW33" s="399">
        <v>0</v>
      </c>
      <c r="DX33" s="399">
        <v>0</v>
      </c>
      <c r="DY33" s="399">
        <v>-369.64350000000059</v>
      </c>
      <c r="DZ33" s="399">
        <v>0</v>
      </c>
      <c r="EA33" s="399">
        <v>0</v>
      </c>
      <c r="EB33" s="399">
        <v>0</v>
      </c>
      <c r="EC33" s="399">
        <v>-366.56842986520746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229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954</v>
      </c>
      <c r="C34" s="399" t="s">
        <v>2336</v>
      </c>
      <c r="D34" s="399" t="s">
        <v>1819</v>
      </c>
      <c r="E34" s="399" t="s">
        <v>887</v>
      </c>
      <c r="F34" s="399" t="s">
        <v>2341</v>
      </c>
      <c r="G34" s="399" t="s">
        <v>1237</v>
      </c>
      <c r="H34" s="399" t="s">
        <v>1237</v>
      </c>
      <c r="I34" s="399" t="s">
        <v>1237</v>
      </c>
      <c r="J34" s="399" t="s">
        <v>2337</v>
      </c>
      <c r="K34" s="788">
        <v>44470</v>
      </c>
      <c r="L34" s="399">
        <v>0</v>
      </c>
      <c r="M34" s="399">
        <v>0</v>
      </c>
      <c r="N34" s="399">
        <v>8.0079999999999991</v>
      </c>
      <c r="O34" s="399">
        <v>8.0079999999999991</v>
      </c>
      <c r="P34" s="399">
        <v>8.0079999999999991</v>
      </c>
      <c r="Q34" s="399">
        <v>8.0079999999999991</v>
      </c>
      <c r="R34" s="399"/>
      <c r="S34" s="399">
        <v>636.83000000000004</v>
      </c>
      <c r="T34" s="399">
        <v>119.97</v>
      </c>
      <c r="U34" s="399"/>
      <c r="V34" s="399">
        <v>6060.4543999999996</v>
      </c>
      <c r="W34" s="399">
        <v>6060.4543999999996</v>
      </c>
      <c r="X34" s="399">
        <v>5329.5642399999988</v>
      </c>
      <c r="Y34" s="399">
        <v>0</v>
      </c>
      <c r="Z34" s="399">
        <v>0</v>
      </c>
      <c r="AA34" s="399">
        <v>0</v>
      </c>
      <c r="AB34" s="399">
        <v>0</v>
      </c>
      <c r="AC34" s="399">
        <v>0</v>
      </c>
      <c r="AD34" s="399">
        <v>861.17400010319272</v>
      </c>
      <c r="AE34" s="399">
        <v>4078.978492899942</v>
      </c>
      <c r="AF34" s="399">
        <v>960.7505313288201</v>
      </c>
      <c r="AG34" s="399">
        <v>0</v>
      </c>
      <c r="AH34" s="399">
        <v>0</v>
      </c>
      <c r="AI34" s="399">
        <v>0</v>
      </c>
      <c r="AJ34" s="399">
        <v>0</v>
      </c>
      <c r="AK34" s="399">
        <v>0</v>
      </c>
      <c r="AL34" s="399">
        <v>0</v>
      </c>
      <c r="AM34" s="399"/>
      <c r="AN34" s="399">
        <v>17.227600399664453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142.32148735950102</v>
      </c>
      <c r="BH34" s="399">
        <v>0</v>
      </c>
      <c r="BI34" s="399">
        <v>0</v>
      </c>
      <c r="BJ34" s="399">
        <v>0</v>
      </c>
      <c r="BK34" s="399">
        <v>458.14</v>
      </c>
      <c r="BL34" s="399">
        <v>30</v>
      </c>
      <c r="BM34" s="399"/>
      <c r="BN34" s="399"/>
      <c r="BO34" s="399"/>
      <c r="BP34" s="399"/>
      <c r="BQ34" s="399"/>
      <c r="BR34" s="399"/>
      <c r="BS34" s="399"/>
      <c r="BT34" s="399">
        <v>2131.8096799999994</v>
      </c>
      <c r="BU34" s="399"/>
      <c r="BV34" s="399">
        <v>1103.0720186883211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3198.5531999999998</v>
      </c>
      <c r="CJ34" s="399">
        <v>-437.74944000000096</v>
      </c>
      <c r="CK34" s="399"/>
      <c r="CL34" s="399"/>
      <c r="CM34" s="399"/>
      <c r="CN34" s="399"/>
      <c r="CO34" s="399">
        <v>-730.89016000000072</v>
      </c>
      <c r="CP34" s="399">
        <v>0</v>
      </c>
      <c r="CQ34" s="399">
        <v>31</v>
      </c>
      <c r="CR34" s="399">
        <v>-6.031986915559628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-4.6074358107297257</v>
      </c>
      <c r="DA34" s="399">
        <v>0</v>
      </c>
      <c r="DB34" s="399">
        <v>0</v>
      </c>
      <c r="DC34" s="399">
        <v>0</v>
      </c>
      <c r="DD34" s="399">
        <v>0</v>
      </c>
      <c r="DE34" s="399">
        <v>0</v>
      </c>
      <c r="DF34" s="399">
        <v>0</v>
      </c>
      <c r="DG34" s="399">
        <v>0</v>
      </c>
      <c r="DH34" s="399">
        <v>0</v>
      </c>
      <c r="DI34" s="399">
        <v>0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0</v>
      </c>
      <c r="DP34" s="399">
        <v>-1.4245511048297335</v>
      </c>
      <c r="DQ34" s="399">
        <v>0</v>
      </c>
      <c r="DR34" s="399">
        <v>0</v>
      </c>
      <c r="DS34" s="399"/>
      <c r="DT34" s="399"/>
      <c r="DU34" s="399"/>
      <c r="DV34" s="399">
        <v>4078.978492899942</v>
      </c>
      <c r="DW34" s="399">
        <v>0</v>
      </c>
      <c r="DX34" s="399">
        <v>0</v>
      </c>
      <c r="DY34" s="399">
        <v>-730.89016000000083</v>
      </c>
      <c r="DZ34" s="399">
        <v>0</v>
      </c>
      <c r="EA34" s="399">
        <v>0</v>
      </c>
      <c r="EB34" s="399">
        <v>0</v>
      </c>
      <c r="EC34" s="399">
        <v>-724.80987317545168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229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954</v>
      </c>
      <c r="C35" s="399" t="s">
        <v>2336</v>
      </c>
      <c r="D35" s="399" t="s">
        <v>1819</v>
      </c>
      <c r="E35" s="399" t="s">
        <v>887</v>
      </c>
      <c r="F35" s="399" t="s">
        <v>2342</v>
      </c>
      <c r="G35" s="399" t="s">
        <v>1237</v>
      </c>
      <c r="H35" s="399" t="s">
        <v>1237</v>
      </c>
      <c r="I35" s="399" t="s">
        <v>1237</v>
      </c>
      <c r="J35" s="399" t="s">
        <v>2337</v>
      </c>
      <c r="K35" s="788">
        <v>44470</v>
      </c>
      <c r="L35" s="399">
        <v>0</v>
      </c>
      <c r="M35" s="399">
        <v>0</v>
      </c>
      <c r="N35" s="399">
        <v>8.2279999999999998</v>
      </c>
      <c r="O35" s="399">
        <v>8.2279999999999998</v>
      </c>
      <c r="P35" s="399">
        <v>8.2279999999999998</v>
      </c>
      <c r="Q35" s="399">
        <v>8.2279999999999998</v>
      </c>
      <c r="R35" s="399"/>
      <c r="S35" s="399">
        <v>636.83000000000004</v>
      </c>
      <c r="T35" s="399">
        <v>119.97</v>
      </c>
      <c r="U35" s="399"/>
      <c r="V35" s="399">
        <v>6226.9503999999997</v>
      </c>
      <c r="W35" s="399">
        <v>6226.9503999999997</v>
      </c>
      <c r="X35" s="399">
        <v>5475.9808399999993</v>
      </c>
      <c r="Y35" s="399">
        <v>0</v>
      </c>
      <c r="Z35" s="399">
        <v>0</v>
      </c>
      <c r="AA35" s="399">
        <v>0</v>
      </c>
      <c r="AB35" s="399">
        <v>0</v>
      </c>
      <c r="AC35" s="399">
        <v>0</v>
      </c>
      <c r="AD35" s="399">
        <v>884.8326264796541</v>
      </c>
      <c r="AE35" s="399">
        <v>4191.0383416059849</v>
      </c>
      <c r="AF35" s="399">
        <v>987.14477669499661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0</v>
      </c>
      <c r="AM35" s="399"/>
      <c r="AN35" s="399">
        <v>17.700886124929962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146.23141833091591</v>
      </c>
      <c r="BH35" s="399">
        <v>0</v>
      </c>
      <c r="BI35" s="399">
        <v>0</v>
      </c>
      <c r="BJ35" s="399">
        <v>0</v>
      </c>
      <c r="BK35" s="399">
        <v>1261.8399999999999</v>
      </c>
      <c r="BL35" s="399">
        <v>60</v>
      </c>
      <c r="BM35" s="399"/>
      <c r="BN35" s="399"/>
      <c r="BO35" s="399"/>
      <c r="BP35" s="399"/>
      <c r="BQ35" s="399"/>
      <c r="BR35" s="399"/>
      <c r="BS35" s="399"/>
      <c r="BT35" s="399">
        <v>547.49111999999957</v>
      </c>
      <c r="BU35" s="399"/>
      <c r="BV35" s="399">
        <v>1133.3761950259125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4929.6877000000004</v>
      </c>
      <c r="CJ35" s="399">
        <v>-674.59765999999945</v>
      </c>
      <c r="CK35" s="399"/>
      <c r="CL35" s="399"/>
      <c r="CM35" s="399"/>
      <c r="CN35" s="399"/>
      <c r="CO35" s="399">
        <v>-750.9695600000008</v>
      </c>
      <c r="CP35" s="399">
        <v>0</v>
      </c>
      <c r="CQ35" s="399">
        <v>31</v>
      </c>
      <c r="CR35" s="399">
        <v>-6.1977008418109563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-4.7340137176179269</v>
      </c>
      <c r="DA35" s="399">
        <v>0</v>
      </c>
      <c r="DB35" s="399">
        <v>0</v>
      </c>
      <c r="DC35" s="399">
        <v>0</v>
      </c>
      <c r="DD35" s="399">
        <v>0</v>
      </c>
      <c r="DE35" s="399">
        <v>0</v>
      </c>
      <c r="DF35" s="399">
        <v>0</v>
      </c>
      <c r="DG35" s="399">
        <v>0</v>
      </c>
      <c r="DH35" s="399">
        <v>0</v>
      </c>
      <c r="DI35" s="399">
        <v>0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0</v>
      </c>
      <c r="DP35" s="399">
        <v>-1.4636871241931892</v>
      </c>
      <c r="DQ35" s="399">
        <v>0</v>
      </c>
      <c r="DR35" s="399">
        <v>0</v>
      </c>
      <c r="DS35" s="399"/>
      <c r="DT35" s="399"/>
      <c r="DU35" s="399"/>
      <c r="DV35" s="399">
        <v>4191.0383416059849</v>
      </c>
      <c r="DW35" s="399">
        <v>0</v>
      </c>
      <c r="DX35" s="399">
        <v>0</v>
      </c>
      <c r="DY35" s="399">
        <v>-750.96956000000046</v>
      </c>
      <c r="DZ35" s="399">
        <v>0</v>
      </c>
      <c r="EA35" s="399">
        <v>0</v>
      </c>
      <c r="EB35" s="399">
        <v>0</v>
      </c>
      <c r="EC35" s="399">
        <v>-744.7222323286237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229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954</v>
      </c>
      <c r="C36" s="399" t="s">
        <v>2336</v>
      </c>
      <c r="D36" s="399" t="s">
        <v>1819</v>
      </c>
      <c r="E36" s="399" t="s">
        <v>887</v>
      </c>
      <c r="F36" s="399" t="s">
        <v>2343</v>
      </c>
      <c r="G36" s="399" t="s">
        <v>1237</v>
      </c>
      <c r="H36" s="399" t="s">
        <v>1237</v>
      </c>
      <c r="I36" s="399" t="s">
        <v>1237</v>
      </c>
      <c r="J36" s="399" t="s">
        <v>2337</v>
      </c>
      <c r="K36" s="788">
        <v>44470</v>
      </c>
      <c r="L36" s="399">
        <v>0</v>
      </c>
      <c r="M36" s="399">
        <v>0</v>
      </c>
      <c r="N36" s="399">
        <v>2.931</v>
      </c>
      <c r="O36" s="399">
        <v>2.931</v>
      </c>
      <c r="P36" s="399">
        <v>2.931</v>
      </c>
      <c r="Q36" s="399">
        <v>2.931</v>
      </c>
      <c r="R36" s="399"/>
      <c r="S36" s="399">
        <v>636.83000000000004</v>
      </c>
      <c r="T36" s="399">
        <v>119.97</v>
      </c>
      <c r="U36" s="399"/>
      <c r="V36" s="399">
        <v>2218.1808000000001</v>
      </c>
      <c r="W36" s="399">
        <v>2218.1808000000001</v>
      </c>
      <c r="X36" s="399">
        <v>1950.6684299999997</v>
      </c>
      <c r="Y36" s="399">
        <v>0</v>
      </c>
      <c r="Z36" s="399">
        <v>0</v>
      </c>
      <c r="AA36" s="399">
        <v>0</v>
      </c>
      <c r="AB36" s="399">
        <v>0</v>
      </c>
      <c r="AC36" s="399">
        <v>0</v>
      </c>
      <c r="AD36" s="399">
        <v>315.19742686094634</v>
      </c>
      <c r="AE36" s="399">
        <v>1492.9428025336829</v>
      </c>
      <c r="AF36" s="399">
        <v>351.64333258301349</v>
      </c>
      <c r="AG36" s="399">
        <v>0</v>
      </c>
      <c r="AH36" s="399">
        <v>0</v>
      </c>
      <c r="AI36" s="399">
        <v>0</v>
      </c>
      <c r="AJ36" s="399">
        <v>0</v>
      </c>
      <c r="AK36" s="399">
        <v>0</v>
      </c>
      <c r="AL36" s="399">
        <v>0</v>
      </c>
      <c r="AM36" s="399"/>
      <c r="AN36" s="399">
        <v>6.3054566397872778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52.090943987349846</v>
      </c>
      <c r="BH36" s="399">
        <v>0</v>
      </c>
      <c r="BI36" s="399">
        <v>0</v>
      </c>
      <c r="BJ36" s="399">
        <v>0</v>
      </c>
      <c r="BK36" s="399">
        <v>922.8</v>
      </c>
      <c r="BL36" s="399">
        <v>38</v>
      </c>
      <c r="BM36" s="399"/>
      <c r="BN36" s="399"/>
      <c r="BO36" s="399"/>
      <c r="BP36" s="399"/>
      <c r="BQ36" s="399"/>
      <c r="BR36" s="399"/>
      <c r="BS36" s="399"/>
      <c r="BT36" s="399"/>
      <c r="BU36" s="399"/>
      <c r="BV36" s="399">
        <v>403.73427657036336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1950.0029</v>
      </c>
      <c r="CJ36" s="399">
        <v>-268.20790000000034</v>
      </c>
      <c r="CK36" s="399"/>
      <c r="CL36" s="399"/>
      <c r="CM36" s="399"/>
      <c r="CN36" s="399"/>
      <c r="CO36" s="399">
        <v>-267.51237000000026</v>
      </c>
      <c r="CP36" s="399">
        <v>0</v>
      </c>
      <c r="CQ36" s="399">
        <v>31</v>
      </c>
      <c r="CR36" s="399">
        <v>-2.2077614447432552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-1.6863629322239149</v>
      </c>
      <c r="DA36" s="399">
        <v>0</v>
      </c>
      <c r="DB36" s="399">
        <v>0</v>
      </c>
      <c r="DC36" s="399">
        <v>0</v>
      </c>
      <c r="DD36" s="399">
        <v>0</v>
      </c>
      <c r="DE36" s="399">
        <v>0</v>
      </c>
      <c r="DF36" s="399">
        <v>0</v>
      </c>
      <c r="DG36" s="399">
        <v>0</v>
      </c>
      <c r="DH36" s="399">
        <v>0</v>
      </c>
      <c r="DI36" s="399">
        <v>0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0</v>
      </c>
      <c r="DP36" s="399">
        <v>-0.52139851251947444</v>
      </c>
      <c r="DQ36" s="399">
        <v>0</v>
      </c>
      <c r="DR36" s="399">
        <v>0</v>
      </c>
      <c r="DS36" s="399"/>
      <c r="DT36" s="399"/>
      <c r="DU36" s="399"/>
      <c r="DV36" s="399">
        <v>1492.9428025336829</v>
      </c>
      <c r="DW36" s="399">
        <v>0</v>
      </c>
      <c r="DX36" s="399">
        <v>0</v>
      </c>
      <c r="DY36" s="399">
        <v>-267.51237000000037</v>
      </c>
      <c r="DZ36" s="399">
        <v>0</v>
      </c>
      <c r="EA36" s="399">
        <v>0</v>
      </c>
      <c r="EB36" s="399">
        <v>0</v>
      </c>
      <c r="EC36" s="399">
        <v>-265.28693035430206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229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954</v>
      </c>
      <c r="C37" s="399" t="s">
        <v>2336</v>
      </c>
      <c r="D37" s="399" t="s">
        <v>1822</v>
      </c>
      <c r="E37" s="399" t="s">
        <v>888</v>
      </c>
      <c r="F37" s="399" t="s">
        <v>1237</v>
      </c>
      <c r="G37" s="399" t="s">
        <v>1237</v>
      </c>
      <c r="H37" s="399" t="s">
        <v>1237</v>
      </c>
      <c r="I37" s="399" t="s">
        <v>1237</v>
      </c>
      <c r="J37" s="399" t="s">
        <v>2337</v>
      </c>
      <c r="K37" s="788">
        <v>44470</v>
      </c>
      <c r="L37" s="399">
        <v>0</v>
      </c>
      <c r="M37" s="399">
        <v>0</v>
      </c>
      <c r="N37" s="399">
        <v>151.34899999999999</v>
      </c>
      <c r="O37" s="399">
        <v>151.34899999999999</v>
      </c>
      <c r="P37" s="399">
        <v>151.34899999999999</v>
      </c>
      <c r="Q37" s="399">
        <v>151.34899999999999</v>
      </c>
      <c r="R37" s="399"/>
      <c r="S37" s="399">
        <v>707.13</v>
      </c>
      <c r="T37" s="399">
        <v>119.97</v>
      </c>
      <c r="U37" s="399"/>
      <c r="V37" s="399">
        <v>125180.75789999998</v>
      </c>
      <c r="W37" s="399">
        <v>125180.75789999998</v>
      </c>
      <c r="X37" s="399">
        <v>110337.96146999998</v>
      </c>
      <c r="Y37" s="399">
        <v>0</v>
      </c>
      <c r="Z37" s="399">
        <v>9216.3791292692003</v>
      </c>
      <c r="AA37" s="399">
        <v>0</v>
      </c>
      <c r="AB37" s="399">
        <v>0</v>
      </c>
      <c r="AC37" s="399">
        <v>0</v>
      </c>
      <c r="AD37" s="399">
        <v>16275.952015686578</v>
      </c>
      <c r="AE37" s="399">
        <v>77091.572917321857</v>
      </c>
      <c r="AF37" s="399">
        <v>18157.921099661038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1424.2282810795239</v>
      </c>
      <c r="AM37" s="399"/>
      <c r="AN37" s="399">
        <v>325.59691469640558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2689.8370117848553</v>
      </c>
      <c r="BH37" s="399">
        <v>0</v>
      </c>
      <c r="BI37" s="399">
        <v>0</v>
      </c>
      <c r="BJ37" s="399">
        <v>0</v>
      </c>
      <c r="BK37" s="399">
        <v>43610.39</v>
      </c>
      <c r="BL37" s="399">
        <v>69</v>
      </c>
      <c r="BM37" s="399"/>
      <c r="BN37" s="399"/>
      <c r="BO37" s="399"/>
      <c r="BP37" s="399"/>
      <c r="BQ37" s="399"/>
      <c r="BR37" s="399"/>
      <c r="BS37" s="399"/>
      <c r="BT37" s="399"/>
      <c r="BU37" s="399"/>
      <c r="BV37" s="399">
        <v>20847.758111445895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110338.69049999998</v>
      </c>
      <c r="CJ37" s="399">
        <v>-14842.097399999984</v>
      </c>
      <c r="CK37" s="399"/>
      <c r="CL37" s="399"/>
      <c r="CM37" s="399"/>
      <c r="CN37" s="399"/>
      <c r="CO37" s="399">
        <v>-14842.796430000006</v>
      </c>
      <c r="CP37" s="399">
        <v>0</v>
      </c>
      <c r="CQ37" s="399">
        <v>31</v>
      </c>
      <c r="CR37" s="399">
        <v>-1143.9447461359159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-87.079271043723566</v>
      </c>
      <c r="DA37" s="399">
        <v>0</v>
      </c>
      <c r="DB37" s="399">
        <v>0</v>
      </c>
      <c r="DC37" s="399">
        <v>0</v>
      </c>
      <c r="DD37" s="399">
        <v>0</v>
      </c>
      <c r="DE37" s="399">
        <v>0</v>
      </c>
      <c r="DF37" s="399">
        <v>0</v>
      </c>
      <c r="DG37" s="399">
        <v>0</v>
      </c>
      <c r="DH37" s="399">
        <v>0</v>
      </c>
      <c r="DI37" s="399">
        <v>-908.57153124019715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-121.37031933091362</v>
      </c>
      <c r="DP37" s="399">
        <v>-26.923624521088357</v>
      </c>
      <c r="DQ37" s="399">
        <v>0</v>
      </c>
      <c r="DR37" s="399">
        <v>0</v>
      </c>
      <c r="DS37" s="399"/>
      <c r="DT37" s="399"/>
      <c r="DU37" s="399"/>
      <c r="DV37" s="399">
        <v>77091.572917321857</v>
      </c>
      <c r="DW37" s="399">
        <v>0</v>
      </c>
      <c r="DX37" s="399">
        <v>0</v>
      </c>
      <c r="DY37" s="399">
        <v>-14842.796430000002</v>
      </c>
      <c r="DZ37" s="399">
        <v>0</v>
      </c>
      <c r="EA37" s="399">
        <v>0</v>
      </c>
      <c r="EB37" s="399">
        <v>0</v>
      </c>
      <c r="EC37" s="399">
        <v>-13698.70747942452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229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2339</v>
      </c>
      <c r="C38" s="399" t="s">
        <v>2336</v>
      </c>
      <c r="D38" s="399" t="s">
        <v>1822</v>
      </c>
      <c r="E38" s="399" t="s">
        <v>888</v>
      </c>
      <c r="F38" s="399" t="s">
        <v>1237</v>
      </c>
      <c r="G38" s="399" t="s">
        <v>1237</v>
      </c>
      <c r="H38" s="399" t="s">
        <v>1237</v>
      </c>
      <c r="I38" s="399" t="s">
        <v>1237</v>
      </c>
      <c r="J38" s="399" t="s">
        <v>2337</v>
      </c>
      <c r="K38" s="788">
        <v>44470</v>
      </c>
      <c r="L38" s="399">
        <v>0</v>
      </c>
      <c r="M38" s="399">
        <v>0</v>
      </c>
      <c r="N38" s="399">
        <v>7.5279999999999996</v>
      </c>
      <c r="O38" s="399">
        <v>7.5279999999999996</v>
      </c>
      <c r="P38" s="399">
        <v>7.5279999999999996</v>
      </c>
      <c r="Q38" s="399">
        <v>7.5279999999999996</v>
      </c>
      <c r="R38" s="399"/>
      <c r="S38" s="399">
        <v>707.13</v>
      </c>
      <c r="T38" s="399">
        <v>119.97</v>
      </c>
      <c r="U38" s="399"/>
      <c r="V38" s="399">
        <v>6226.4087999999992</v>
      </c>
      <c r="W38" s="399">
        <v>6226.4087999999992</v>
      </c>
      <c r="X38" s="399">
        <v>5488.1378399999985</v>
      </c>
      <c r="Y38" s="399">
        <v>0</v>
      </c>
      <c r="Z38" s="399">
        <v>458.41665346410315</v>
      </c>
      <c r="AA38" s="399">
        <v>0</v>
      </c>
      <c r="AB38" s="399">
        <v>0</v>
      </c>
      <c r="AC38" s="399">
        <v>0</v>
      </c>
      <c r="AD38" s="399">
        <v>809.55517891818624</v>
      </c>
      <c r="AE38" s="399">
        <v>3834.4842775413044</v>
      </c>
      <c r="AF38" s="399">
        <v>903.16308689352627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70.840180641871811</v>
      </c>
      <c r="AM38" s="399"/>
      <c r="AN38" s="399">
        <v>16.194976999085167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133.79072887641405</v>
      </c>
      <c r="BH38" s="399">
        <v>0</v>
      </c>
      <c r="BI38" s="399">
        <v>0</v>
      </c>
      <c r="BJ38" s="399">
        <v>0</v>
      </c>
      <c r="BK38" s="399">
        <v>2383.73</v>
      </c>
      <c r="BL38" s="399">
        <v>4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>
        <v>1036.9538157699403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5489.5958999999993</v>
      </c>
      <c r="CJ38" s="399">
        <v>-736.84290000000055</v>
      </c>
      <c r="CK38" s="399"/>
      <c r="CL38" s="399"/>
      <c r="CM38" s="399"/>
      <c r="CN38" s="399"/>
      <c r="CO38" s="399">
        <v>-738.27096000000029</v>
      </c>
      <c r="CP38" s="399">
        <v>0</v>
      </c>
      <c r="CQ38" s="399">
        <v>31</v>
      </c>
      <c r="CR38" s="399">
        <v>-56.899061433582574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-4.3312658320646733</v>
      </c>
      <c r="DA38" s="399">
        <v>0</v>
      </c>
      <c r="DB38" s="399">
        <v>0</v>
      </c>
      <c r="DC38" s="399">
        <v>0</v>
      </c>
      <c r="DD38" s="399">
        <v>0</v>
      </c>
      <c r="DE38" s="399">
        <v>0</v>
      </c>
      <c r="DF38" s="399">
        <v>0</v>
      </c>
      <c r="DG38" s="399">
        <v>0</v>
      </c>
      <c r="DH38" s="399">
        <v>0</v>
      </c>
      <c r="DI38" s="399">
        <v>-45.191752090705677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-6.0368800845933492</v>
      </c>
      <c r="DP38" s="399">
        <v>-1.3391634262185619</v>
      </c>
      <c r="DQ38" s="399">
        <v>0</v>
      </c>
      <c r="DR38" s="399">
        <v>0</v>
      </c>
      <c r="DS38" s="399"/>
      <c r="DT38" s="399"/>
      <c r="DU38" s="399"/>
      <c r="DV38" s="399">
        <v>3834.4842775413044</v>
      </c>
      <c r="DW38" s="399">
        <v>0</v>
      </c>
      <c r="DX38" s="399">
        <v>0</v>
      </c>
      <c r="DY38" s="399">
        <v>-738.27096000000074</v>
      </c>
      <c r="DZ38" s="399">
        <v>0</v>
      </c>
      <c r="EA38" s="399">
        <v>0</v>
      </c>
      <c r="EB38" s="399">
        <v>0</v>
      </c>
      <c r="EC38" s="399">
        <v>-681.36472593216831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229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954</v>
      </c>
      <c r="C39" s="399" t="s">
        <v>2344</v>
      </c>
      <c r="D39" s="399" t="s">
        <v>533</v>
      </c>
      <c r="E39" s="399" t="s">
        <v>888</v>
      </c>
      <c r="F39" s="399" t="s">
        <v>1237</v>
      </c>
      <c r="G39" s="399" t="s">
        <v>1237</v>
      </c>
      <c r="H39" s="399" t="s">
        <v>1237</v>
      </c>
      <c r="I39" s="399" t="s">
        <v>891</v>
      </c>
      <c r="J39" s="399" t="s">
        <v>2337</v>
      </c>
      <c r="K39" s="788">
        <v>44470</v>
      </c>
      <c r="L39" s="399">
        <v>0</v>
      </c>
      <c r="M39" s="399">
        <v>0</v>
      </c>
      <c r="N39" s="399">
        <v>89.47</v>
      </c>
      <c r="O39" s="399">
        <v>89.47</v>
      </c>
      <c r="P39" s="399">
        <v>89.47</v>
      </c>
      <c r="Q39" s="399">
        <v>89.47</v>
      </c>
      <c r="R39" s="399"/>
      <c r="S39" s="399">
        <v>3312.96</v>
      </c>
      <c r="T39" s="399">
        <v>119.97</v>
      </c>
      <c r="U39" s="399"/>
      <c r="V39" s="399">
        <v>307144.24710000004</v>
      </c>
      <c r="W39" s="399">
        <v>307144.24710000004</v>
      </c>
      <c r="X39" s="399">
        <v>266603.60070000001</v>
      </c>
      <c r="Y39" s="399">
        <v>0</v>
      </c>
      <c r="Z39" s="399">
        <v>4739.9904419934855</v>
      </c>
      <c r="AA39" s="399">
        <v>0</v>
      </c>
      <c r="AB39" s="399">
        <v>0</v>
      </c>
      <c r="AC39" s="399">
        <v>0</v>
      </c>
      <c r="AD39" s="399">
        <v>66891.261731767809</v>
      </c>
      <c r="AE39" s="399">
        <v>223065.78184744917</v>
      </c>
      <c r="AF39" s="399">
        <v>10734.05969505364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841.93291206539197</v>
      </c>
      <c r="AM39" s="399"/>
      <c r="AN39" s="399">
        <v>75.220291373709927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796.62722731744896</v>
      </c>
      <c r="BH39" s="399">
        <v>0</v>
      </c>
      <c r="BI39" s="399">
        <v>0</v>
      </c>
      <c r="BJ39" s="399">
        <v>0</v>
      </c>
      <c r="BK39" s="399">
        <v>0</v>
      </c>
      <c r="BL39" s="399">
        <v>0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11530.686922371089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266603.60070000001</v>
      </c>
      <c r="CJ39" s="399">
        <v>-40540.676400000055</v>
      </c>
      <c r="CK39" s="399"/>
      <c r="CL39" s="399"/>
      <c r="CM39" s="399"/>
      <c r="CN39" s="399"/>
      <c r="CO39" s="399">
        <v>-40540.646399999991</v>
      </c>
      <c r="CP39" s="399">
        <v>0</v>
      </c>
      <c r="CQ39" s="399">
        <v>31</v>
      </c>
      <c r="CR39" s="399">
        <v>-903.12734227265173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-357.88028283615131</v>
      </c>
      <c r="DA39" s="399">
        <v>0</v>
      </c>
      <c r="DB39" s="399">
        <v>0</v>
      </c>
      <c r="DC39" s="399">
        <v>0</v>
      </c>
      <c r="DD39" s="399">
        <v>0</v>
      </c>
      <c r="DE39" s="399">
        <v>0</v>
      </c>
      <c r="DF39" s="399">
        <v>0</v>
      </c>
      <c r="DG39" s="399">
        <v>0</v>
      </c>
      <c r="DH39" s="399">
        <v>0</v>
      </c>
      <c r="DI39" s="399">
        <v>-467.27899466169038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-71.748095266812811</v>
      </c>
      <c r="DP39" s="399">
        <v>-6.2199695080063719</v>
      </c>
      <c r="DQ39" s="399">
        <v>0</v>
      </c>
      <c r="DR39" s="399">
        <v>0</v>
      </c>
      <c r="DS39" s="399"/>
      <c r="DT39" s="399"/>
      <c r="DU39" s="399"/>
      <c r="DV39" s="399">
        <v>223065.78184744917</v>
      </c>
      <c r="DW39" s="399">
        <v>0</v>
      </c>
      <c r="DX39" s="399">
        <v>0</v>
      </c>
      <c r="DY39" s="399">
        <v>-40540.646400000027</v>
      </c>
      <c r="DZ39" s="399">
        <v>0</v>
      </c>
      <c r="EA39" s="399">
        <v>0</v>
      </c>
      <c r="EB39" s="399">
        <v>0</v>
      </c>
      <c r="EC39" s="399">
        <v>-39637.443867885013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229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954</v>
      </c>
      <c r="C40" s="399" t="s">
        <v>2344</v>
      </c>
      <c r="D40" s="399" t="s">
        <v>533</v>
      </c>
      <c r="E40" s="399" t="s">
        <v>888</v>
      </c>
      <c r="F40" s="399" t="s">
        <v>1237</v>
      </c>
      <c r="G40" s="399" t="s">
        <v>1237</v>
      </c>
      <c r="H40" s="399" t="s">
        <v>1237</v>
      </c>
      <c r="I40" s="399" t="s">
        <v>2322</v>
      </c>
      <c r="J40" s="399" t="s">
        <v>2337</v>
      </c>
      <c r="K40" s="788">
        <v>44470</v>
      </c>
      <c r="L40" s="399">
        <v>0</v>
      </c>
      <c r="M40" s="399">
        <v>0</v>
      </c>
      <c r="N40" s="399">
        <v>2405.5880000000002</v>
      </c>
      <c r="O40" s="399">
        <v>2405.5880000000002</v>
      </c>
      <c r="P40" s="399">
        <v>2405.5880000000002</v>
      </c>
      <c r="Q40" s="399">
        <v>2405.5880000000002</v>
      </c>
      <c r="R40" s="399"/>
      <c r="S40" s="399">
        <v>72.13</v>
      </c>
      <c r="T40" s="399">
        <v>119.97</v>
      </c>
      <c r="U40" s="399"/>
      <c r="V40" s="399">
        <v>462113.45480000001</v>
      </c>
      <c r="W40" s="399">
        <v>462113.45480000001</v>
      </c>
      <c r="X40" s="399">
        <v>447463.42388000002</v>
      </c>
      <c r="Y40" s="399">
        <v>0</v>
      </c>
      <c r="Z40" s="399">
        <v>127444.55266988069</v>
      </c>
      <c r="AA40" s="399">
        <v>0</v>
      </c>
      <c r="AB40" s="399">
        <v>0</v>
      </c>
      <c r="AC40" s="399">
        <v>0</v>
      </c>
      <c r="AD40" s="399">
        <v>0</v>
      </c>
      <c r="AE40" s="399">
        <v>0</v>
      </c>
      <c r="AF40" s="399">
        <v>288607.6360087705</v>
      </c>
      <c r="AG40" s="399">
        <v>0</v>
      </c>
      <c r="AH40" s="399">
        <v>0</v>
      </c>
      <c r="AI40" s="399">
        <v>0</v>
      </c>
      <c r="AJ40" s="399">
        <v>0</v>
      </c>
      <c r="AK40" s="399">
        <v>0</v>
      </c>
      <c r="AL40" s="399">
        <v>22637.126523634317</v>
      </c>
      <c r="AM40" s="399"/>
      <c r="AN40" s="399">
        <v>2022.4547925013985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21418.988471086705</v>
      </c>
      <c r="BH40" s="399">
        <v>0</v>
      </c>
      <c r="BI40" s="399">
        <v>0</v>
      </c>
      <c r="BJ40" s="399">
        <v>0</v>
      </c>
      <c r="BK40" s="399">
        <v>0</v>
      </c>
      <c r="BL40" s="399">
        <v>0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310026.62447985722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447463.79590000003</v>
      </c>
      <c r="CJ40" s="399">
        <v>-14649.688900000008</v>
      </c>
      <c r="CK40" s="399"/>
      <c r="CL40" s="399"/>
      <c r="CM40" s="399"/>
      <c r="CN40" s="399"/>
      <c r="CO40" s="399">
        <v>-14650.030919999976</v>
      </c>
      <c r="CP40" s="399">
        <v>0</v>
      </c>
      <c r="CQ40" s="399">
        <v>31</v>
      </c>
      <c r="CR40" s="399">
        <v>-14660.107110939454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0</v>
      </c>
      <c r="DA40" s="399">
        <v>0</v>
      </c>
      <c r="DB40" s="399">
        <v>0</v>
      </c>
      <c r="DC40" s="399">
        <v>0</v>
      </c>
      <c r="DD40" s="399">
        <v>0</v>
      </c>
      <c r="DE40" s="399">
        <v>0</v>
      </c>
      <c r="DF40" s="399">
        <v>0</v>
      </c>
      <c r="DG40" s="399">
        <v>0</v>
      </c>
      <c r="DH40" s="399">
        <v>0</v>
      </c>
      <c r="DI40" s="399">
        <v>-12563.772685930773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-1929.0975410383544</v>
      </c>
      <c r="DP40" s="399">
        <v>-167.23688397033675</v>
      </c>
      <c r="DQ40" s="399">
        <v>0</v>
      </c>
      <c r="DR40" s="399">
        <v>0</v>
      </c>
      <c r="DS40" s="399"/>
      <c r="DT40" s="399"/>
      <c r="DU40" s="399"/>
      <c r="DV40" s="399">
        <v>0</v>
      </c>
      <c r="DW40" s="399">
        <v>0</v>
      </c>
      <c r="DX40" s="399">
        <v>0</v>
      </c>
      <c r="DY40" s="399">
        <v>-14650.03091999999</v>
      </c>
      <c r="DZ40" s="399">
        <v>0</v>
      </c>
      <c r="EA40" s="399">
        <v>0</v>
      </c>
      <c r="EB40" s="399">
        <v>0</v>
      </c>
      <c r="EC40" s="399">
        <v>0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229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954</v>
      </c>
      <c r="C41" s="399" t="s">
        <v>2344</v>
      </c>
      <c r="D41" s="399" t="s">
        <v>533</v>
      </c>
      <c r="E41" s="399" t="s">
        <v>888</v>
      </c>
      <c r="F41" s="399" t="s">
        <v>1237</v>
      </c>
      <c r="G41" s="399" t="s">
        <v>1237</v>
      </c>
      <c r="H41" s="399" t="s">
        <v>1237</v>
      </c>
      <c r="I41" s="399" t="s">
        <v>1237</v>
      </c>
      <c r="J41" s="399" t="s">
        <v>2337</v>
      </c>
      <c r="K41" s="788">
        <v>44470</v>
      </c>
      <c r="L41" s="399">
        <v>10867</v>
      </c>
      <c r="M41" s="399">
        <v>10867</v>
      </c>
      <c r="N41" s="399">
        <v>0</v>
      </c>
      <c r="O41" s="399">
        <v>0</v>
      </c>
      <c r="P41" s="399">
        <v>0</v>
      </c>
      <c r="Q41" s="399">
        <v>0</v>
      </c>
      <c r="R41" s="399">
        <v>46.29</v>
      </c>
      <c r="S41" s="399"/>
      <c r="T41" s="399"/>
      <c r="U41" s="399">
        <v>503033.43</v>
      </c>
      <c r="V41" s="399"/>
      <c r="W41" s="399">
        <v>503033.43</v>
      </c>
      <c r="X41" s="399">
        <v>447177.05</v>
      </c>
      <c r="Y41" s="399">
        <v>0</v>
      </c>
      <c r="Z41" s="399">
        <v>0</v>
      </c>
      <c r="AA41" s="399">
        <v>0</v>
      </c>
      <c r="AB41" s="399">
        <v>0</v>
      </c>
      <c r="AC41" s="399">
        <v>0</v>
      </c>
      <c r="AD41" s="399">
        <v>194660.70546299728</v>
      </c>
      <c r="AE41" s="399">
        <v>308334.04543803679</v>
      </c>
      <c r="AF41" s="399"/>
      <c r="AG41" s="399"/>
      <c r="AH41" s="399"/>
      <c r="AI41" s="399">
        <v>0</v>
      </c>
      <c r="AJ41" s="399">
        <v>0</v>
      </c>
      <c r="AK41" s="399">
        <v>0</v>
      </c>
      <c r="AL41" s="399">
        <v>0</v>
      </c>
      <c r="AM41" s="399"/>
      <c r="AN41" s="399">
        <v>0</v>
      </c>
      <c r="AO41" s="399">
        <v>0</v>
      </c>
      <c r="AP41" s="399">
        <v>0</v>
      </c>
      <c r="AQ41" s="399">
        <v>0</v>
      </c>
      <c r="AR41" s="399">
        <v>0</v>
      </c>
      <c r="AS41" s="399"/>
      <c r="AT41" s="399"/>
      <c r="AU41" s="399">
        <v>0</v>
      </c>
      <c r="AV41" s="399">
        <v>0</v>
      </c>
      <c r="AW41" s="399">
        <v>0</v>
      </c>
      <c r="AX41" s="399"/>
      <c r="AY41" s="399"/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/>
      <c r="BG41" s="399">
        <v>0</v>
      </c>
      <c r="BH41" s="399">
        <v>0</v>
      </c>
      <c r="BI41" s="399">
        <v>0</v>
      </c>
      <c r="BJ41" s="399">
        <v>0</v>
      </c>
      <c r="BK41" s="399">
        <v>491294.29</v>
      </c>
      <c r="BL41" s="399">
        <v>26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>
        <v>0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447177.05</v>
      </c>
      <c r="CJ41" s="399">
        <v>-55856.410000000033</v>
      </c>
      <c r="CK41" s="399"/>
      <c r="CL41" s="399"/>
      <c r="CM41" s="399"/>
      <c r="CN41" s="399"/>
      <c r="CO41" s="399">
        <v>-55856.380000000005</v>
      </c>
      <c r="CP41" s="399">
        <v>0</v>
      </c>
      <c r="CQ41" s="399">
        <v>31</v>
      </c>
      <c r="CR41" s="399">
        <v>-1041.4697902927001</v>
      </c>
      <c r="CS41" s="399">
        <v>0</v>
      </c>
      <c r="CT41" s="399">
        <v>0</v>
      </c>
      <c r="CU41" s="399">
        <v>0</v>
      </c>
      <c r="CV41" s="399">
        <v>0</v>
      </c>
      <c r="CW41" s="399"/>
      <c r="CX41" s="399"/>
      <c r="CY41" s="399"/>
      <c r="CZ41" s="399">
        <v>-1041.4697902927001</v>
      </c>
      <c r="DA41" s="399">
        <v>0</v>
      </c>
      <c r="DB41" s="399">
        <v>0</v>
      </c>
      <c r="DC41" s="399"/>
      <c r="DD41" s="399"/>
      <c r="DE41" s="399">
        <v>0</v>
      </c>
      <c r="DF41" s="399">
        <v>0</v>
      </c>
      <c r="DG41" s="399">
        <v>0</v>
      </c>
      <c r="DH41" s="399">
        <v>0</v>
      </c>
      <c r="DI41" s="399">
        <v>0</v>
      </c>
      <c r="DJ41" s="399"/>
      <c r="DK41" s="399">
        <v>0</v>
      </c>
      <c r="DL41" s="399">
        <v>0</v>
      </c>
      <c r="DM41" s="399"/>
      <c r="DN41" s="399">
        <v>0</v>
      </c>
      <c r="DO41" s="399">
        <v>0</v>
      </c>
      <c r="DP41" s="399">
        <v>0</v>
      </c>
      <c r="DQ41" s="399">
        <v>0</v>
      </c>
      <c r="DR41" s="399">
        <v>0</v>
      </c>
      <c r="DS41" s="399"/>
      <c r="DT41" s="399"/>
      <c r="DU41" s="399">
        <v>308334.04543803679</v>
      </c>
      <c r="DV41" s="399"/>
      <c r="DW41" s="399">
        <v>0</v>
      </c>
      <c r="DX41" s="399">
        <v>0</v>
      </c>
      <c r="DY41" s="399">
        <v>-55856.380000000005</v>
      </c>
      <c r="DZ41" s="399"/>
      <c r="EA41" s="399">
        <v>0</v>
      </c>
      <c r="EB41" s="399"/>
      <c r="EC41" s="399">
        <v>-54789.099956919148</v>
      </c>
      <c r="ED41" s="399"/>
      <c r="EE41" s="399">
        <v>0</v>
      </c>
      <c r="EF41" s="399">
        <v>0</v>
      </c>
      <c r="EG41" s="399"/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/>
      <c r="EN41" s="399"/>
      <c r="EO41" s="399">
        <v>0</v>
      </c>
      <c r="EP41" s="399">
        <v>0</v>
      </c>
      <c r="EQ41" s="399"/>
      <c r="ER41" s="399">
        <v>0</v>
      </c>
      <c r="ES41" s="399"/>
      <c r="ET41" s="399">
        <v>0</v>
      </c>
      <c r="EU41" s="399"/>
      <c r="EV41" s="399">
        <v>229</v>
      </c>
      <c r="EW41" s="399"/>
      <c r="EX41" s="399"/>
      <c r="EY41" s="399"/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954</v>
      </c>
      <c r="C42" s="399" t="s">
        <v>2345</v>
      </c>
      <c r="D42" s="399" t="s">
        <v>1822</v>
      </c>
      <c r="E42" s="399" t="s">
        <v>888</v>
      </c>
      <c r="F42" s="399" t="s">
        <v>1237</v>
      </c>
      <c r="G42" s="399" t="s">
        <v>1237</v>
      </c>
      <c r="H42" s="399" t="s">
        <v>1237</v>
      </c>
      <c r="I42" s="399" t="s">
        <v>891</v>
      </c>
      <c r="J42" s="399" t="s">
        <v>2337</v>
      </c>
      <c r="K42" s="788">
        <v>44470</v>
      </c>
      <c r="L42" s="399">
        <v>0</v>
      </c>
      <c r="M42" s="399">
        <v>0</v>
      </c>
      <c r="N42" s="399">
        <v>5.1999999999999998E-2</v>
      </c>
      <c r="O42" s="399">
        <v>5.1999999999999998E-2</v>
      </c>
      <c r="P42" s="399">
        <v>5.1999999999999998E-2</v>
      </c>
      <c r="Q42" s="399">
        <v>5.1999999999999998E-2</v>
      </c>
      <c r="R42" s="399"/>
      <c r="S42" s="399">
        <v>2187.66</v>
      </c>
      <c r="T42" s="399">
        <v>119.97</v>
      </c>
      <c r="U42" s="399"/>
      <c r="V42" s="399">
        <v>119.99675999999998</v>
      </c>
      <c r="W42" s="399">
        <v>119.99675999999998</v>
      </c>
      <c r="X42" s="399">
        <v>103.5294</v>
      </c>
      <c r="Y42" s="399">
        <v>0</v>
      </c>
      <c r="Z42" s="399">
        <v>3.1665337380623493</v>
      </c>
      <c r="AA42" s="399">
        <v>0</v>
      </c>
      <c r="AB42" s="399">
        <v>0</v>
      </c>
      <c r="AC42" s="399">
        <v>0</v>
      </c>
      <c r="AD42" s="399">
        <v>19.011025009107506</v>
      </c>
      <c r="AE42" s="399">
        <v>90.055359472866826</v>
      </c>
      <c r="AF42" s="399">
        <v>6.2386398138235073</v>
      </c>
      <c r="AG42" s="399">
        <v>0</v>
      </c>
      <c r="AH42" s="399">
        <v>0</v>
      </c>
      <c r="AI42" s="399">
        <v>0</v>
      </c>
      <c r="AJ42" s="399">
        <v>0</v>
      </c>
      <c r="AK42" s="399">
        <v>0</v>
      </c>
      <c r="AL42" s="399">
        <v>0.48933174726053852</v>
      </c>
      <c r="AM42" s="399"/>
      <c r="AN42" s="399">
        <v>0.11186753506275621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0.9241655023344223</v>
      </c>
      <c r="BH42" s="399">
        <v>0</v>
      </c>
      <c r="BI42" s="399">
        <v>0</v>
      </c>
      <c r="BJ42" s="399">
        <v>0</v>
      </c>
      <c r="BK42" s="399">
        <v>0</v>
      </c>
      <c r="BL42" s="399">
        <v>0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7.1628053161579297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99.547500000000014</v>
      </c>
      <c r="CJ42" s="399">
        <v>-20.479259999999982</v>
      </c>
      <c r="CK42" s="399"/>
      <c r="CL42" s="399"/>
      <c r="CM42" s="399"/>
      <c r="CN42" s="399"/>
      <c r="CO42" s="399">
        <v>-16.467359999999992</v>
      </c>
      <c r="CP42" s="399">
        <v>0</v>
      </c>
      <c r="CQ42" s="399">
        <v>31</v>
      </c>
      <c r="CR42" s="399">
        <v>-0.46482682587769375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-0.10171240355052547</v>
      </c>
      <c r="DA42" s="399">
        <v>0</v>
      </c>
      <c r="DB42" s="399">
        <v>0</v>
      </c>
      <c r="DC42" s="399">
        <v>0</v>
      </c>
      <c r="DD42" s="399">
        <v>0</v>
      </c>
      <c r="DE42" s="399">
        <v>0</v>
      </c>
      <c r="DF42" s="399">
        <v>0</v>
      </c>
      <c r="DG42" s="399">
        <v>0</v>
      </c>
      <c r="DH42" s="399">
        <v>0</v>
      </c>
      <c r="DI42" s="399">
        <v>-0.31216406863930635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-4.1700021838317503E-2</v>
      </c>
      <c r="DP42" s="399">
        <v>-9.2503318495437414E-3</v>
      </c>
      <c r="DQ42" s="399">
        <v>0</v>
      </c>
      <c r="DR42" s="399">
        <v>0</v>
      </c>
      <c r="DS42" s="399"/>
      <c r="DT42" s="399"/>
      <c r="DU42" s="399"/>
      <c r="DV42" s="399">
        <v>90.055359472866826</v>
      </c>
      <c r="DW42" s="399">
        <v>0</v>
      </c>
      <c r="DX42" s="399">
        <v>0</v>
      </c>
      <c r="DY42" s="399">
        <v>-16.467359999999985</v>
      </c>
      <c r="DZ42" s="399">
        <v>0</v>
      </c>
      <c r="EA42" s="399">
        <v>0</v>
      </c>
      <c r="EB42" s="399">
        <v>0</v>
      </c>
      <c r="EC42" s="399">
        <v>-16.002294150831034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229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954</v>
      </c>
      <c r="C43" s="399" t="s">
        <v>2345</v>
      </c>
      <c r="D43" s="399" t="s">
        <v>1822</v>
      </c>
      <c r="E43" s="399" t="s">
        <v>888</v>
      </c>
      <c r="F43" s="399" t="s">
        <v>1237</v>
      </c>
      <c r="G43" s="399" t="s">
        <v>1237</v>
      </c>
      <c r="H43" s="399" t="s">
        <v>1237</v>
      </c>
      <c r="I43" s="399" t="s">
        <v>2322</v>
      </c>
      <c r="J43" s="399" t="s">
        <v>2337</v>
      </c>
      <c r="K43" s="788">
        <v>44470</v>
      </c>
      <c r="L43" s="399">
        <v>0</v>
      </c>
      <c r="M43" s="399">
        <v>0</v>
      </c>
      <c r="N43" s="399">
        <v>33.966000000000001</v>
      </c>
      <c r="O43" s="399">
        <v>33.966000000000001</v>
      </c>
      <c r="P43" s="399">
        <v>33.966000000000001</v>
      </c>
      <c r="Q43" s="399">
        <v>33.966000000000001</v>
      </c>
      <c r="R43" s="399"/>
      <c r="S43" s="399">
        <v>509.72</v>
      </c>
      <c r="T43" s="399">
        <v>119.97</v>
      </c>
      <c r="U43" s="399"/>
      <c r="V43" s="399">
        <v>21388.050540000004</v>
      </c>
      <c r="W43" s="399">
        <v>21388.050540000004</v>
      </c>
      <c r="X43" s="399">
        <v>19046.774160000001</v>
      </c>
      <c r="Y43" s="399">
        <v>0</v>
      </c>
      <c r="Z43" s="399">
        <v>2068.3554797504953</v>
      </c>
      <c r="AA43" s="399">
        <v>0</v>
      </c>
      <c r="AB43" s="399">
        <v>0</v>
      </c>
      <c r="AC43" s="399">
        <v>0</v>
      </c>
      <c r="AD43" s="399">
        <v>2483.5710594590182</v>
      </c>
      <c r="AE43" s="399">
        <v>11764.703266624801</v>
      </c>
      <c r="AF43" s="399">
        <v>4075.0315368524862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319.62773322022025</v>
      </c>
      <c r="AM43" s="399"/>
      <c r="AN43" s="399">
        <v>73.071013383491874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603.65779715944211</v>
      </c>
      <c r="BH43" s="399">
        <v>0</v>
      </c>
      <c r="BI43" s="399">
        <v>0</v>
      </c>
      <c r="BJ43" s="399">
        <v>0</v>
      </c>
      <c r="BK43" s="399">
        <v>0</v>
      </c>
      <c r="BL43" s="399">
        <v>0</v>
      </c>
      <c r="BM43" s="399"/>
      <c r="BN43" s="399"/>
      <c r="BO43" s="399"/>
      <c r="BP43" s="399"/>
      <c r="BQ43" s="399"/>
      <c r="BR43" s="399"/>
      <c r="BS43" s="399"/>
      <c r="BT43" s="399"/>
      <c r="BU43" s="399"/>
      <c r="BV43" s="399">
        <v>4678.6893340119286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19049.017199999998</v>
      </c>
      <c r="CJ43" s="399">
        <v>-2339.0633400000006</v>
      </c>
      <c r="CK43" s="399"/>
      <c r="CL43" s="399"/>
      <c r="CM43" s="399"/>
      <c r="CN43" s="399"/>
      <c r="CO43" s="399">
        <v>-2341.2763800000002</v>
      </c>
      <c r="CP43" s="399">
        <v>0</v>
      </c>
      <c r="CQ43" s="399">
        <v>31</v>
      </c>
      <c r="CR43" s="399">
        <v>-250.47109939546135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-13.287551919216185</v>
      </c>
      <c r="DA43" s="399">
        <v>0</v>
      </c>
      <c r="DB43" s="399">
        <v>0</v>
      </c>
      <c r="DC43" s="399">
        <v>0</v>
      </c>
      <c r="DD43" s="399">
        <v>0</v>
      </c>
      <c r="DE43" s="399">
        <v>0</v>
      </c>
      <c r="DF43" s="399">
        <v>0</v>
      </c>
      <c r="DG43" s="399">
        <v>0</v>
      </c>
      <c r="DH43" s="399">
        <v>0</v>
      </c>
      <c r="DI43" s="399">
        <v>-203.90316837312821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-27.23813349539023</v>
      </c>
      <c r="DP43" s="399">
        <v>-6.0422456077231175</v>
      </c>
      <c r="DQ43" s="399">
        <v>0</v>
      </c>
      <c r="DR43" s="399">
        <v>0</v>
      </c>
      <c r="DS43" s="399"/>
      <c r="DT43" s="399"/>
      <c r="DU43" s="399"/>
      <c r="DV43" s="399">
        <v>11764.703266624801</v>
      </c>
      <c r="DW43" s="399">
        <v>0</v>
      </c>
      <c r="DX43" s="399">
        <v>0</v>
      </c>
      <c r="DY43" s="399">
        <v>-2341.2763800000012</v>
      </c>
      <c r="DZ43" s="399">
        <v>0</v>
      </c>
      <c r="EA43" s="399">
        <v>0</v>
      </c>
      <c r="EB43" s="399">
        <v>0</v>
      </c>
      <c r="EC43" s="399">
        <v>-2090.5168040164808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229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954</v>
      </c>
      <c r="C44" s="399" t="s">
        <v>2345</v>
      </c>
      <c r="D44" s="399" t="s">
        <v>1822</v>
      </c>
      <c r="E44" s="399" t="s">
        <v>888</v>
      </c>
      <c r="F44" s="399" t="s">
        <v>1237</v>
      </c>
      <c r="G44" s="399" t="s">
        <v>1237</v>
      </c>
      <c r="H44" s="399" t="s">
        <v>1237</v>
      </c>
      <c r="I44" s="399" t="s">
        <v>1237</v>
      </c>
      <c r="J44" s="399" t="s">
        <v>2337</v>
      </c>
      <c r="K44" s="788">
        <v>44470</v>
      </c>
      <c r="L44" s="399">
        <v>0</v>
      </c>
      <c r="M44" s="399">
        <v>0</v>
      </c>
      <c r="N44" s="399">
        <v>0</v>
      </c>
      <c r="O44" s="399">
        <v>0</v>
      </c>
      <c r="P44" s="399">
        <v>0</v>
      </c>
      <c r="Q44" s="399">
        <v>0</v>
      </c>
      <c r="R44" s="399"/>
      <c r="S44" s="399"/>
      <c r="T44" s="399"/>
      <c r="U44" s="399"/>
      <c r="V44" s="399"/>
      <c r="W44" s="399"/>
      <c r="X44" s="399"/>
      <c r="Y44" s="399"/>
      <c r="Z44" s="399"/>
      <c r="AA44" s="399">
        <v>0</v>
      </c>
      <c r="AB44" s="399"/>
      <c r="AC44" s="399"/>
      <c r="AD44" s="399"/>
      <c r="AE44" s="399"/>
      <c r="AF44" s="399"/>
      <c r="AG44" s="399"/>
      <c r="AH44" s="399"/>
      <c r="AI44" s="399"/>
      <c r="AJ44" s="399"/>
      <c r="AK44" s="399"/>
      <c r="AL44" s="399"/>
      <c r="AM44" s="399"/>
      <c r="AN44" s="399"/>
      <c r="AO44" s="399"/>
      <c r="AP44" s="399"/>
      <c r="AQ44" s="399"/>
      <c r="AR44" s="399"/>
      <c r="AS44" s="399"/>
      <c r="AT44" s="399"/>
      <c r="AU44" s="399"/>
      <c r="AV44" s="399"/>
      <c r="AW44" s="399"/>
      <c r="AX44" s="399"/>
      <c r="AY44" s="399"/>
      <c r="AZ44" s="399">
        <v>0</v>
      </c>
      <c r="BA44" s="399"/>
      <c r="BB44" s="399"/>
      <c r="BC44" s="399"/>
      <c r="BD44" s="399"/>
      <c r="BE44" s="399"/>
      <c r="BF44" s="399"/>
      <c r="BG44" s="399"/>
      <c r="BH44" s="399"/>
      <c r="BI44" s="399">
        <v>0</v>
      </c>
      <c r="BJ44" s="399">
        <v>0</v>
      </c>
      <c r="BK44" s="399">
        <v>7974.01</v>
      </c>
      <c r="BL44" s="399">
        <v>7</v>
      </c>
      <c r="BM44" s="399"/>
      <c r="BN44" s="399"/>
      <c r="BO44" s="399"/>
      <c r="BP44" s="399"/>
      <c r="BQ44" s="399"/>
      <c r="BR44" s="399"/>
      <c r="BS44" s="399"/>
      <c r="BT44" s="399"/>
      <c r="BU44" s="399"/>
      <c r="BV44" s="399"/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/>
      <c r="CJ44" s="399">
        <v>-0.03</v>
      </c>
      <c r="CK44" s="399"/>
      <c r="CL44" s="399"/>
      <c r="CM44" s="399"/>
      <c r="CN44" s="399"/>
      <c r="CO44" s="399">
        <v>0</v>
      </c>
      <c r="CP44" s="399">
        <v>0</v>
      </c>
      <c r="CQ44" s="399">
        <v>31</v>
      </c>
      <c r="CR44" s="399"/>
      <c r="CS44" s="399"/>
      <c r="CT44" s="399"/>
      <c r="CU44" s="399"/>
      <c r="CV44" s="399"/>
      <c r="CW44" s="399"/>
      <c r="CX44" s="399"/>
      <c r="CY44" s="399"/>
      <c r="CZ44" s="399"/>
      <c r="DA44" s="399"/>
      <c r="DB44" s="399"/>
      <c r="DC44" s="399"/>
      <c r="DD44" s="399"/>
      <c r="DE44" s="399"/>
      <c r="DF44" s="399"/>
      <c r="DG44" s="399"/>
      <c r="DH44" s="399"/>
      <c r="DI44" s="399"/>
      <c r="DJ44" s="399"/>
      <c r="DK44" s="399">
        <v>0</v>
      </c>
      <c r="DL44" s="399"/>
      <c r="DM44" s="399"/>
      <c r="DN44" s="399"/>
      <c r="DO44" s="399"/>
      <c r="DP44" s="399"/>
      <c r="DQ44" s="399"/>
      <c r="DR44" s="399"/>
      <c r="DS44" s="399"/>
      <c r="DT44" s="399"/>
      <c r="DU44" s="399"/>
      <c r="DV44" s="399"/>
      <c r="DW44" s="399"/>
      <c r="DX44" s="399"/>
      <c r="DY44" s="399"/>
      <c r="DZ44" s="399"/>
      <c r="EA44" s="399"/>
      <c r="EB44" s="399"/>
      <c r="EC44" s="399"/>
      <c r="ED44" s="399"/>
      <c r="EE44" s="399"/>
      <c r="EF44" s="399"/>
      <c r="EG44" s="399"/>
      <c r="EH44" s="399"/>
      <c r="EI44" s="399"/>
      <c r="EJ44" s="399"/>
      <c r="EK44" s="399"/>
      <c r="EL44" s="399"/>
      <c r="EM44" s="399"/>
      <c r="EN44" s="399"/>
      <c r="EO44" s="399"/>
      <c r="EP44" s="399"/>
      <c r="EQ44" s="399"/>
      <c r="ER44" s="399"/>
      <c r="ES44" s="399"/>
      <c r="ET44" s="399"/>
      <c r="EU44" s="399"/>
      <c r="EV44" s="399">
        <v>229</v>
      </c>
      <c r="EW44" s="399"/>
      <c r="EX44" s="399"/>
      <c r="EY44" s="399"/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954</v>
      </c>
      <c r="C45" s="399" t="s">
        <v>2345</v>
      </c>
      <c r="D45" s="399" t="s">
        <v>1822</v>
      </c>
      <c r="E45" s="399" t="s">
        <v>888</v>
      </c>
      <c r="F45" s="399" t="s">
        <v>1237</v>
      </c>
      <c r="G45" s="399" t="s">
        <v>1237</v>
      </c>
      <c r="H45" s="399" t="s">
        <v>1237</v>
      </c>
      <c r="I45" s="399" t="s">
        <v>2346</v>
      </c>
      <c r="J45" s="399" t="s">
        <v>2337</v>
      </c>
      <c r="K45" s="788">
        <v>44470</v>
      </c>
      <c r="L45" s="399">
        <v>0</v>
      </c>
      <c r="M45" s="399">
        <v>0</v>
      </c>
      <c r="N45" s="399">
        <v>0.33</v>
      </c>
      <c r="O45" s="399">
        <v>0.33</v>
      </c>
      <c r="P45" s="399">
        <v>0.33</v>
      </c>
      <c r="Q45" s="399">
        <v>0.33</v>
      </c>
      <c r="R45" s="399"/>
      <c r="S45" s="399">
        <v>1348.63</v>
      </c>
      <c r="T45" s="399">
        <v>119.97</v>
      </c>
      <c r="U45" s="399"/>
      <c r="V45" s="399">
        <v>484.63800000000009</v>
      </c>
      <c r="W45" s="399">
        <v>484.63800000000009</v>
      </c>
      <c r="X45" s="399">
        <v>421.01400000000001</v>
      </c>
      <c r="Y45" s="399">
        <v>0</v>
      </c>
      <c r="Z45" s="399">
        <v>20.095310260780295</v>
      </c>
      <c r="AA45" s="399">
        <v>0</v>
      </c>
      <c r="AB45" s="399">
        <v>0</v>
      </c>
      <c r="AC45" s="399">
        <v>0</v>
      </c>
      <c r="AD45" s="399">
        <v>72.36795862339396</v>
      </c>
      <c r="AE45" s="399">
        <v>342.9030682736439</v>
      </c>
      <c r="AF45" s="399">
        <v>39.591368049264574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3.1053745499226486</v>
      </c>
      <c r="AM45" s="399"/>
      <c r="AN45" s="399">
        <v>0.70992858789826063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5.8648964571222963</v>
      </c>
      <c r="BH45" s="399">
        <v>0</v>
      </c>
      <c r="BI45" s="399">
        <v>0</v>
      </c>
      <c r="BJ45" s="399">
        <v>0</v>
      </c>
      <c r="BK45" s="399">
        <v>0</v>
      </c>
      <c r="BL45" s="399">
        <v>0</v>
      </c>
      <c r="BM45" s="399"/>
      <c r="BN45" s="399"/>
      <c r="BO45" s="399"/>
      <c r="BP45" s="399"/>
      <c r="BQ45" s="399"/>
      <c r="BR45" s="399"/>
      <c r="BS45" s="399"/>
      <c r="BT45" s="399"/>
      <c r="BU45" s="399"/>
      <c r="BV45" s="399">
        <v>45.456264506386873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421.01400000000001</v>
      </c>
      <c r="CJ45" s="399">
        <v>-63.654000000000053</v>
      </c>
      <c r="CK45" s="399"/>
      <c r="CL45" s="399"/>
      <c r="CM45" s="399"/>
      <c r="CN45" s="399"/>
      <c r="CO45" s="399">
        <v>-63.624000000000066</v>
      </c>
      <c r="CP45" s="399">
        <v>0</v>
      </c>
      <c r="CQ45" s="399">
        <v>31</v>
      </c>
      <c r="CR45" s="399">
        <v>-2.6915615842139857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-0.38718159636849236</v>
      </c>
      <c r="DA45" s="399">
        <v>0</v>
      </c>
      <c r="DB45" s="399">
        <v>0</v>
      </c>
      <c r="DC45" s="399">
        <v>0</v>
      </c>
      <c r="DD45" s="399">
        <v>0</v>
      </c>
      <c r="DE45" s="399">
        <v>0</v>
      </c>
      <c r="DF45" s="399">
        <v>0</v>
      </c>
      <c r="DG45" s="399">
        <v>0</v>
      </c>
      <c r="DH45" s="399">
        <v>0</v>
      </c>
      <c r="DI45" s="399">
        <v>-1.981041204826365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-0.26463475397393799</v>
      </c>
      <c r="DP45" s="399">
        <v>-5.8704029045181461E-2</v>
      </c>
      <c r="DQ45" s="399">
        <v>0</v>
      </c>
      <c r="DR45" s="399">
        <v>0</v>
      </c>
      <c r="DS45" s="399"/>
      <c r="DT45" s="399"/>
      <c r="DU45" s="399"/>
      <c r="DV45" s="399">
        <v>342.9030682736439</v>
      </c>
      <c r="DW45" s="399">
        <v>0</v>
      </c>
      <c r="DX45" s="399">
        <v>0</v>
      </c>
      <c r="DY45" s="399">
        <v>-63.62400000000008</v>
      </c>
      <c r="DZ45" s="399">
        <v>0</v>
      </c>
      <c r="EA45" s="399">
        <v>0</v>
      </c>
      <c r="EB45" s="399">
        <v>0</v>
      </c>
      <c r="EC45" s="399">
        <v>-60.931806789252619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229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954</v>
      </c>
      <c r="C46" s="399" t="s">
        <v>2336</v>
      </c>
      <c r="D46" s="399" t="s">
        <v>1822</v>
      </c>
      <c r="E46" s="399" t="s">
        <v>916</v>
      </c>
      <c r="F46" s="399" t="s">
        <v>1237</v>
      </c>
      <c r="G46" s="399" t="s">
        <v>1237</v>
      </c>
      <c r="H46" s="399" t="s">
        <v>1237</v>
      </c>
      <c r="I46" s="399" t="s">
        <v>1237</v>
      </c>
      <c r="J46" s="399" t="s">
        <v>2337</v>
      </c>
      <c r="K46" s="788">
        <v>44470</v>
      </c>
      <c r="L46" s="399">
        <v>0</v>
      </c>
      <c r="M46" s="399">
        <v>0</v>
      </c>
      <c r="N46" s="399">
        <v>96.47</v>
      </c>
      <c r="O46" s="399">
        <v>96.47</v>
      </c>
      <c r="P46" s="399">
        <v>96.47</v>
      </c>
      <c r="Q46" s="399">
        <v>96.47</v>
      </c>
      <c r="R46" s="399"/>
      <c r="S46" s="399">
        <v>707.13</v>
      </c>
      <c r="T46" s="399">
        <v>119.97</v>
      </c>
      <c r="U46" s="399"/>
      <c r="V46" s="399">
        <v>79790.337</v>
      </c>
      <c r="W46" s="399">
        <v>79790.337</v>
      </c>
      <c r="X46" s="399">
        <v>70329.524099999995</v>
      </c>
      <c r="Y46" s="399">
        <v>0</v>
      </c>
      <c r="Z46" s="399">
        <v>5874.5290329014388</v>
      </c>
      <c r="AA46" s="399">
        <v>0</v>
      </c>
      <c r="AB46" s="399">
        <v>0</v>
      </c>
      <c r="AC46" s="399">
        <v>0</v>
      </c>
      <c r="AD46" s="399">
        <v>10374.307666078297</v>
      </c>
      <c r="AE46" s="399">
        <v>49138.243657599582</v>
      </c>
      <c r="AF46" s="399">
        <v>11573.876593068342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907.80449342738757</v>
      </c>
      <c r="AM46" s="399"/>
      <c r="AN46" s="399">
        <v>207.53579052892485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1714.5047309654178</v>
      </c>
      <c r="BH46" s="399">
        <v>0</v>
      </c>
      <c r="BI46" s="399">
        <v>0</v>
      </c>
      <c r="BJ46" s="399">
        <v>0</v>
      </c>
      <c r="BK46" s="399">
        <v>26444.98</v>
      </c>
      <c r="BL46" s="399">
        <v>277</v>
      </c>
      <c r="BM46" s="399"/>
      <c r="BN46" s="399"/>
      <c r="BO46" s="399"/>
      <c r="BP46" s="399"/>
      <c r="BQ46" s="399"/>
      <c r="BR46" s="399"/>
      <c r="BS46" s="399"/>
      <c r="BT46" s="399"/>
      <c r="BU46" s="399"/>
      <c r="BV46" s="399">
        <v>13288.38132403376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70329.524099999995</v>
      </c>
      <c r="CJ46" s="399">
        <v>-9460.8428999999887</v>
      </c>
      <c r="CK46" s="399"/>
      <c r="CL46" s="399"/>
      <c r="CM46" s="399"/>
      <c r="CN46" s="399"/>
      <c r="CO46" s="399">
        <v>-9460.8129000000044</v>
      </c>
      <c r="CP46" s="399">
        <v>0</v>
      </c>
      <c r="CQ46" s="399">
        <v>31</v>
      </c>
      <c r="CR46" s="399">
        <v>-729.15149528396068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-55.504412170466821</v>
      </c>
      <c r="DA46" s="399">
        <v>0</v>
      </c>
      <c r="DB46" s="399">
        <v>0</v>
      </c>
      <c r="DC46" s="399">
        <v>0</v>
      </c>
      <c r="DD46" s="399">
        <v>0</v>
      </c>
      <c r="DE46" s="399">
        <v>0</v>
      </c>
      <c r="DF46" s="399">
        <v>0</v>
      </c>
      <c r="DG46" s="399">
        <v>0</v>
      </c>
      <c r="DH46" s="399">
        <v>0</v>
      </c>
      <c r="DI46" s="399">
        <v>-579.12437887757369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-77.361559745047884</v>
      </c>
      <c r="DP46" s="399">
        <v>-17.161144490874705</v>
      </c>
      <c r="DQ46" s="399">
        <v>0</v>
      </c>
      <c r="DR46" s="399">
        <v>0</v>
      </c>
      <c r="DS46" s="399"/>
      <c r="DT46" s="399"/>
      <c r="DU46" s="399"/>
      <c r="DV46" s="399">
        <v>49138.243657599582</v>
      </c>
      <c r="DW46" s="399">
        <v>0</v>
      </c>
      <c r="DX46" s="399">
        <v>0</v>
      </c>
      <c r="DY46" s="399">
        <v>-9460.8129000000044</v>
      </c>
      <c r="DZ46" s="399">
        <v>0</v>
      </c>
      <c r="EA46" s="399">
        <v>0</v>
      </c>
      <c r="EB46" s="399">
        <v>0</v>
      </c>
      <c r="EC46" s="399">
        <v>-8731.5694886658166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229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2339</v>
      </c>
      <c r="C47" s="399" t="s">
        <v>2336</v>
      </c>
      <c r="D47" s="399" t="s">
        <v>1822</v>
      </c>
      <c r="E47" s="399" t="s">
        <v>916</v>
      </c>
      <c r="F47" s="399" t="s">
        <v>1237</v>
      </c>
      <c r="G47" s="399" t="s">
        <v>1237</v>
      </c>
      <c r="H47" s="399" t="s">
        <v>1237</v>
      </c>
      <c r="I47" s="399" t="s">
        <v>1237</v>
      </c>
      <c r="J47" s="399" t="s">
        <v>2337</v>
      </c>
      <c r="K47" s="788">
        <v>44470</v>
      </c>
      <c r="L47" s="399">
        <v>0</v>
      </c>
      <c r="M47" s="399">
        <v>0</v>
      </c>
      <c r="N47" s="399">
        <v>0.69199999999999995</v>
      </c>
      <c r="O47" s="399">
        <v>0.69199999999999995</v>
      </c>
      <c r="P47" s="399">
        <v>0.69199999999999995</v>
      </c>
      <c r="Q47" s="399">
        <v>0.69199999999999995</v>
      </c>
      <c r="R47" s="399"/>
      <c r="S47" s="399">
        <v>707.13</v>
      </c>
      <c r="T47" s="399">
        <v>119.97</v>
      </c>
      <c r="U47" s="399"/>
      <c r="V47" s="399">
        <v>572.3531999999999</v>
      </c>
      <c r="W47" s="399">
        <v>572.3531999999999</v>
      </c>
      <c r="X47" s="399">
        <v>504.48875999999996</v>
      </c>
      <c r="Y47" s="399">
        <v>0</v>
      </c>
      <c r="Z47" s="399">
        <v>42.13925666806049</v>
      </c>
      <c r="AA47" s="399">
        <v>0</v>
      </c>
      <c r="AB47" s="399">
        <v>0</v>
      </c>
      <c r="AC47" s="399">
        <v>0</v>
      </c>
      <c r="AD47" s="399">
        <v>74.417133875051121</v>
      </c>
      <c r="AE47" s="399">
        <v>352.47916047536967</v>
      </c>
      <c r="AF47" s="399">
        <v>83.021899060882063</v>
      </c>
      <c r="AG47" s="399">
        <v>0</v>
      </c>
      <c r="AH47" s="399">
        <v>0</v>
      </c>
      <c r="AI47" s="399">
        <v>0</v>
      </c>
      <c r="AJ47" s="399">
        <v>0</v>
      </c>
      <c r="AK47" s="399">
        <v>0</v>
      </c>
      <c r="AL47" s="399">
        <v>6.5118763289287047</v>
      </c>
      <c r="AM47" s="399"/>
      <c r="AN47" s="399">
        <v>1.4886987358351402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12.29851014645039</v>
      </c>
      <c r="BH47" s="399">
        <v>0</v>
      </c>
      <c r="BI47" s="399">
        <v>0</v>
      </c>
      <c r="BJ47" s="399">
        <v>0</v>
      </c>
      <c r="BK47" s="399">
        <v>2451.23</v>
      </c>
      <c r="BL47" s="399">
        <v>6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>
        <v>95.32040920733246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503.03069999999991</v>
      </c>
      <c r="CJ47" s="399">
        <v>-69.352499999999964</v>
      </c>
      <c r="CK47" s="399"/>
      <c r="CL47" s="399"/>
      <c r="CM47" s="399"/>
      <c r="CN47" s="399"/>
      <c r="CO47" s="399">
        <v>-67.86444000000003</v>
      </c>
      <c r="CP47" s="399">
        <v>0</v>
      </c>
      <c r="CQ47" s="399">
        <v>31</v>
      </c>
      <c r="CR47" s="399">
        <v>-5.230360057390925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-0.39814505257554345</v>
      </c>
      <c r="DA47" s="399">
        <v>0</v>
      </c>
      <c r="DB47" s="399">
        <v>0</v>
      </c>
      <c r="DC47" s="399">
        <v>0</v>
      </c>
      <c r="DD47" s="399">
        <v>0</v>
      </c>
      <c r="DE47" s="399">
        <v>0</v>
      </c>
      <c r="DF47" s="399">
        <v>0</v>
      </c>
      <c r="DG47" s="399">
        <v>0</v>
      </c>
      <c r="DH47" s="399">
        <v>0</v>
      </c>
      <c r="DI47" s="399">
        <v>-4.1541833749692287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-0.55493105984837854</v>
      </c>
      <c r="DP47" s="399">
        <v>-0.1231005699977743</v>
      </c>
      <c r="DQ47" s="399">
        <v>0</v>
      </c>
      <c r="DR47" s="399">
        <v>0</v>
      </c>
      <c r="DS47" s="399"/>
      <c r="DT47" s="399"/>
      <c r="DU47" s="399"/>
      <c r="DV47" s="399">
        <v>352.47916047536967</v>
      </c>
      <c r="DW47" s="399">
        <v>0</v>
      </c>
      <c r="DX47" s="399">
        <v>0</v>
      </c>
      <c r="DY47" s="399">
        <v>-67.864440000000002</v>
      </c>
      <c r="DZ47" s="399">
        <v>0</v>
      </c>
      <c r="EA47" s="399">
        <v>0</v>
      </c>
      <c r="EB47" s="399">
        <v>0</v>
      </c>
      <c r="EC47" s="399">
        <v>-62.633420609067571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229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954</v>
      </c>
      <c r="C48" s="399" t="s">
        <v>2336</v>
      </c>
      <c r="D48" s="399" t="s">
        <v>2347</v>
      </c>
      <c r="E48" s="399" t="s">
        <v>892</v>
      </c>
      <c r="F48" s="399" t="s">
        <v>1237</v>
      </c>
      <c r="G48" s="399" t="s">
        <v>1237</v>
      </c>
      <c r="H48" s="399" t="s">
        <v>1237</v>
      </c>
      <c r="I48" s="399" t="s">
        <v>1237</v>
      </c>
      <c r="J48" s="399" t="s">
        <v>2337</v>
      </c>
      <c r="K48" s="788">
        <v>44470</v>
      </c>
      <c r="L48" s="399">
        <v>0</v>
      </c>
      <c r="M48" s="399">
        <v>0</v>
      </c>
      <c r="N48" s="399">
        <v>293.82499999999999</v>
      </c>
      <c r="O48" s="399">
        <v>293.82499999999999</v>
      </c>
      <c r="P48" s="399">
        <v>293.82499999999999</v>
      </c>
      <c r="Q48" s="399">
        <v>293.82499999999999</v>
      </c>
      <c r="R48" s="399"/>
      <c r="S48" s="399">
        <v>707.13</v>
      </c>
      <c r="T48" s="399">
        <v>119.97</v>
      </c>
      <c r="U48" s="399"/>
      <c r="V48" s="399">
        <v>243022.65749999997</v>
      </c>
      <c r="W48" s="399">
        <v>243022.65749999997</v>
      </c>
      <c r="X48" s="399">
        <v>214207.23974999995</v>
      </c>
      <c r="Y48" s="399">
        <v>0</v>
      </c>
      <c r="Z48" s="399">
        <v>17892.437992041727</v>
      </c>
      <c r="AA48" s="399">
        <v>0</v>
      </c>
      <c r="AB48" s="399">
        <v>0</v>
      </c>
      <c r="AC48" s="399">
        <v>0</v>
      </c>
      <c r="AD48" s="399">
        <v>31597.708613926152</v>
      </c>
      <c r="AE48" s="399">
        <v>149663.56839114954</v>
      </c>
      <c r="AF48" s="399">
        <v>35251.314294167154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2764.9596276697639</v>
      </c>
      <c r="AM48" s="399"/>
      <c r="AN48" s="399">
        <v>632.10535557335277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5221.9793985271472</v>
      </c>
      <c r="BH48" s="399">
        <v>0</v>
      </c>
      <c r="BI48" s="399">
        <v>0</v>
      </c>
      <c r="BJ48" s="399">
        <v>0</v>
      </c>
      <c r="BK48" s="399">
        <v>49464.57</v>
      </c>
      <c r="BL48" s="399">
        <v>711</v>
      </c>
      <c r="BM48" s="399"/>
      <c r="BN48" s="399"/>
      <c r="BO48" s="399"/>
      <c r="BP48" s="399"/>
      <c r="BQ48" s="399"/>
      <c r="BR48" s="399">
        <v>25703.810999999972</v>
      </c>
      <c r="BS48" s="399"/>
      <c r="BT48" s="399"/>
      <c r="BU48" s="399"/>
      <c r="BV48" s="399">
        <v>40473.2936926943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188506.63649999999</v>
      </c>
      <c r="CJ48" s="399">
        <v>-25356.858000000007</v>
      </c>
      <c r="CK48" s="399"/>
      <c r="CL48" s="399"/>
      <c r="CM48" s="399"/>
      <c r="CN48" s="399"/>
      <c r="CO48" s="399">
        <v>-28815.417750000015</v>
      </c>
      <c r="CP48" s="399">
        <v>0</v>
      </c>
      <c r="CQ48" s="399">
        <v>31</v>
      </c>
      <c r="CR48" s="399">
        <v>-2220.8244853509968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-169.05342496099911</v>
      </c>
      <c r="DA48" s="399">
        <v>0</v>
      </c>
      <c r="DB48" s="399">
        <v>0</v>
      </c>
      <c r="DC48" s="399">
        <v>0</v>
      </c>
      <c r="DD48" s="399">
        <v>0</v>
      </c>
      <c r="DE48" s="399">
        <v>0</v>
      </c>
      <c r="DF48" s="399">
        <v>0</v>
      </c>
      <c r="DG48" s="399">
        <v>0</v>
      </c>
      <c r="DH48" s="399">
        <v>0</v>
      </c>
      <c r="DI48" s="399">
        <v>-1763.8770666912333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-235.625171473916</v>
      </c>
      <c r="DP48" s="399">
        <v>-52.268822224849828</v>
      </c>
      <c r="DQ48" s="399">
        <v>0</v>
      </c>
      <c r="DR48" s="399">
        <v>0</v>
      </c>
      <c r="DS48" s="399"/>
      <c r="DT48" s="399"/>
      <c r="DU48" s="399"/>
      <c r="DV48" s="399">
        <v>149663.56839114954</v>
      </c>
      <c r="DW48" s="399">
        <v>0</v>
      </c>
      <c r="DX48" s="399">
        <v>0</v>
      </c>
      <c r="DY48" s="399">
        <v>-28815.417750000022</v>
      </c>
      <c r="DZ48" s="399">
        <v>0</v>
      </c>
      <c r="EA48" s="399">
        <v>0</v>
      </c>
      <c r="EB48" s="399">
        <v>0</v>
      </c>
      <c r="EC48" s="399">
        <v>-26594.313309912235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229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2338</v>
      </c>
      <c r="C49" s="399" t="s">
        <v>2336</v>
      </c>
      <c r="D49" s="399" t="s">
        <v>2347</v>
      </c>
      <c r="E49" s="399" t="s">
        <v>892</v>
      </c>
      <c r="F49" s="399" t="s">
        <v>1237</v>
      </c>
      <c r="G49" s="399" t="s">
        <v>1237</v>
      </c>
      <c r="H49" s="399" t="s">
        <v>1237</v>
      </c>
      <c r="I49" s="399" t="s">
        <v>1237</v>
      </c>
      <c r="J49" s="399" t="s">
        <v>2337</v>
      </c>
      <c r="K49" s="788">
        <v>44470</v>
      </c>
      <c r="L49" s="399">
        <v>0</v>
      </c>
      <c r="M49" s="399">
        <v>0</v>
      </c>
      <c r="N49" s="399">
        <v>-19.876000000000001</v>
      </c>
      <c r="O49" s="399">
        <v>-19.876000000000001</v>
      </c>
      <c r="P49" s="399">
        <v>-19.876000000000001</v>
      </c>
      <c r="Q49" s="399">
        <v>-19.876000000000001</v>
      </c>
      <c r="R49" s="399"/>
      <c r="S49" s="399">
        <v>707.13</v>
      </c>
      <c r="T49" s="399">
        <v>119.97</v>
      </c>
      <c r="U49" s="399"/>
      <c r="V49" s="399">
        <v>-16439.439600000002</v>
      </c>
      <c r="W49" s="399">
        <v>-16439.439600000002</v>
      </c>
      <c r="X49" s="399">
        <v>-14490.200280000001</v>
      </c>
      <c r="Y49" s="399">
        <v>0</v>
      </c>
      <c r="Z49" s="399">
        <v>-1210.3466264947549</v>
      </c>
      <c r="AA49" s="399">
        <v>0</v>
      </c>
      <c r="AB49" s="399">
        <v>0</v>
      </c>
      <c r="AC49" s="399">
        <v>0</v>
      </c>
      <c r="AD49" s="399">
        <v>-2137.4493539024802</v>
      </c>
      <c r="AE49" s="399">
        <v>-10124.097967642267</v>
      </c>
      <c r="AF49" s="399">
        <v>-2384.6000949914624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-187.03765016443202</v>
      </c>
      <c r="AM49" s="399"/>
      <c r="AN49" s="399">
        <v>-42.759213978987354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-353.24449085382656</v>
      </c>
      <c r="BH49" s="399">
        <v>0</v>
      </c>
      <c r="BI49" s="399">
        <v>0</v>
      </c>
      <c r="BJ49" s="399">
        <v>0</v>
      </c>
      <c r="BK49" s="399">
        <v>-5085.3900000000003</v>
      </c>
      <c r="BL49" s="399">
        <v>0</v>
      </c>
      <c r="BM49" s="399"/>
      <c r="BN49" s="399"/>
      <c r="BO49" s="399"/>
      <c r="BP49" s="399"/>
      <c r="BQ49" s="399"/>
      <c r="BR49" s="399">
        <v>-1738.7524799999985</v>
      </c>
      <c r="BS49" s="399"/>
      <c r="BT49" s="399"/>
      <c r="BU49" s="399"/>
      <c r="BV49" s="399">
        <v>-2737.8445858452887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-12754.013999999999</v>
      </c>
      <c r="CJ49" s="399">
        <v>1712.9013599999998</v>
      </c>
      <c r="CK49" s="399"/>
      <c r="CL49" s="399"/>
      <c r="CM49" s="399"/>
      <c r="CN49" s="399"/>
      <c r="CO49" s="399">
        <v>1949.239320000001</v>
      </c>
      <c r="CP49" s="399">
        <v>0</v>
      </c>
      <c r="CQ49" s="399">
        <v>31</v>
      </c>
      <c r="CR49" s="399">
        <v>150.22924349812456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11.435738533224594</v>
      </c>
      <c r="DA49" s="399">
        <v>0</v>
      </c>
      <c r="DB49" s="399">
        <v>0</v>
      </c>
      <c r="DC49" s="399">
        <v>0</v>
      </c>
      <c r="DD49" s="399">
        <v>0</v>
      </c>
      <c r="DE49" s="399">
        <v>0</v>
      </c>
      <c r="DF49" s="399">
        <v>0</v>
      </c>
      <c r="DG49" s="399">
        <v>0</v>
      </c>
      <c r="DH49" s="399">
        <v>0</v>
      </c>
      <c r="DI49" s="399">
        <v>119.31871208220855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15.939031424199982</v>
      </c>
      <c r="DP49" s="399">
        <v>3.5357614584909811</v>
      </c>
      <c r="DQ49" s="399">
        <v>0</v>
      </c>
      <c r="DR49" s="399">
        <v>0</v>
      </c>
      <c r="DS49" s="399"/>
      <c r="DT49" s="399"/>
      <c r="DU49" s="399"/>
      <c r="DV49" s="399">
        <v>-10124.097967642267</v>
      </c>
      <c r="DW49" s="399">
        <v>0</v>
      </c>
      <c r="DX49" s="399">
        <v>0</v>
      </c>
      <c r="DY49" s="399">
        <v>1949.2393200000006</v>
      </c>
      <c r="DZ49" s="399">
        <v>0</v>
      </c>
      <c r="EA49" s="399">
        <v>0</v>
      </c>
      <c r="EB49" s="399">
        <v>0</v>
      </c>
      <c r="EC49" s="399">
        <v>1798.9911387656466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229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2339</v>
      </c>
      <c r="C50" s="399" t="s">
        <v>2336</v>
      </c>
      <c r="D50" s="399" t="s">
        <v>2347</v>
      </c>
      <c r="E50" s="399" t="s">
        <v>892</v>
      </c>
      <c r="F50" s="399" t="s">
        <v>1237</v>
      </c>
      <c r="G50" s="399" t="s">
        <v>1237</v>
      </c>
      <c r="H50" s="399" t="s">
        <v>1237</v>
      </c>
      <c r="I50" s="399" t="s">
        <v>1237</v>
      </c>
      <c r="J50" s="399" t="s">
        <v>2337</v>
      </c>
      <c r="K50" s="788">
        <v>44470</v>
      </c>
      <c r="L50" s="399">
        <v>0</v>
      </c>
      <c r="M50" s="399">
        <v>0</v>
      </c>
      <c r="N50" s="399">
        <v>16.452999999999999</v>
      </c>
      <c r="O50" s="399">
        <v>16.452999999999999</v>
      </c>
      <c r="P50" s="399">
        <v>16.452999999999999</v>
      </c>
      <c r="Q50" s="399">
        <v>16.452999999999999</v>
      </c>
      <c r="R50" s="399"/>
      <c r="S50" s="399">
        <v>707.13</v>
      </c>
      <c r="T50" s="399">
        <v>119.97</v>
      </c>
      <c r="U50" s="399"/>
      <c r="V50" s="399">
        <v>13608.2763</v>
      </c>
      <c r="W50" s="399">
        <v>13608.2763</v>
      </c>
      <c r="X50" s="399">
        <v>11994.730589999999</v>
      </c>
      <c r="Y50" s="399">
        <v>0</v>
      </c>
      <c r="Z50" s="399">
        <v>1001.9034536988429</v>
      </c>
      <c r="AA50" s="399">
        <v>0</v>
      </c>
      <c r="AB50" s="399">
        <v>0</v>
      </c>
      <c r="AC50" s="399">
        <v>0</v>
      </c>
      <c r="AD50" s="399">
        <v>1769.3426353269019</v>
      </c>
      <c r="AE50" s="399">
        <v>8380.5485943659787</v>
      </c>
      <c r="AF50" s="399">
        <v>1973.9296318622726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154.82644687841616</v>
      </c>
      <c r="AM50" s="399"/>
      <c r="AN50" s="399">
        <v>35.395318353606307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292.4095194213125</v>
      </c>
      <c r="BH50" s="399">
        <v>0</v>
      </c>
      <c r="BI50" s="399">
        <v>0</v>
      </c>
      <c r="BJ50" s="399">
        <v>0</v>
      </c>
      <c r="BK50" s="399">
        <v>4847.01</v>
      </c>
      <c r="BL50" s="399">
        <v>12</v>
      </c>
      <c r="BM50" s="399"/>
      <c r="BN50" s="399"/>
      <c r="BO50" s="399"/>
      <c r="BP50" s="399"/>
      <c r="BQ50" s="399"/>
      <c r="BR50" s="399">
        <v>1439.3084399999987</v>
      </c>
      <c r="BS50" s="399"/>
      <c r="BT50" s="399"/>
      <c r="BU50" s="399"/>
      <c r="BV50" s="399">
        <v>2266.3391512835851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10553.497499999999</v>
      </c>
      <c r="CJ50" s="399">
        <v>-1422.0130800000006</v>
      </c>
      <c r="CK50" s="399"/>
      <c r="CL50" s="399"/>
      <c r="CM50" s="399"/>
      <c r="CN50" s="399"/>
      <c r="CO50" s="399">
        <v>-1613.5457100000008</v>
      </c>
      <c r="CP50" s="399">
        <v>0</v>
      </c>
      <c r="CQ50" s="399">
        <v>31</v>
      </c>
      <c r="CR50" s="399">
        <v>-124.35710119111718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-9.4663013728691112</v>
      </c>
      <c r="DA50" s="399">
        <v>0</v>
      </c>
      <c r="DB50" s="399">
        <v>0</v>
      </c>
      <c r="DC50" s="399">
        <v>0</v>
      </c>
      <c r="DD50" s="399">
        <v>0</v>
      </c>
      <c r="DE50" s="399">
        <v>0</v>
      </c>
      <c r="DF50" s="399">
        <v>0</v>
      </c>
      <c r="DG50" s="399">
        <v>0</v>
      </c>
      <c r="DH50" s="399">
        <v>0</v>
      </c>
      <c r="DI50" s="399">
        <v>-98.76991194850973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-13.194047294343022</v>
      </c>
      <c r="DP50" s="399">
        <v>-2.9268405753950617</v>
      </c>
      <c r="DQ50" s="399">
        <v>0</v>
      </c>
      <c r="DR50" s="399">
        <v>0</v>
      </c>
      <c r="DS50" s="399"/>
      <c r="DT50" s="399"/>
      <c r="DU50" s="399"/>
      <c r="DV50" s="399">
        <v>8380.5485943659787</v>
      </c>
      <c r="DW50" s="399">
        <v>0</v>
      </c>
      <c r="DX50" s="399">
        <v>0</v>
      </c>
      <c r="DY50" s="399">
        <v>-1613.5457100000003</v>
      </c>
      <c r="DZ50" s="399">
        <v>0</v>
      </c>
      <c r="EA50" s="399">
        <v>0</v>
      </c>
      <c r="EB50" s="399">
        <v>0</v>
      </c>
      <c r="EC50" s="399">
        <v>-1489.1729324869775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229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954</v>
      </c>
      <c r="C51" s="399" t="s">
        <v>2336</v>
      </c>
      <c r="D51" s="399" t="s">
        <v>1822</v>
      </c>
      <c r="E51" s="399" t="s">
        <v>2348</v>
      </c>
      <c r="F51" s="399" t="s">
        <v>1237</v>
      </c>
      <c r="G51" s="399" t="s">
        <v>1237</v>
      </c>
      <c r="H51" s="399" t="s">
        <v>1237</v>
      </c>
      <c r="I51" s="399" t="s">
        <v>1237</v>
      </c>
      <c r="J51" s="399" t="s">
        <v>2337</v>
      </c>
      <c r="K51" s="788">
        <v>44470</v>
      </c>
      <c r="L51" s="399">
        <v>0</v>
      </c>
      <c r="M51" s="399">
        <v>0</v>
      </c>
      <c r="N51" s="399">
        <v>24.074999999999999</v>
      </c>
      <c r="O51" s="399">
        <v>24.074999999999999</v>
      </c>
      <c r="P51" s="399">
        <v>24.074999999999999</v>
      </c>
      <c r="Q51" s="399">
        <v>24.074999999999999</v>
      </c>
      <c r="R51" s="399"/>
      <c r="S51" s="399">
        <v>707.13</v>
      </c>
      <c r="T51" s="399">
        <v>119.97</v>
      </c>
      <c r="U51" s="399"/>
      <c r="V51" s="399">
        <v>19912.432499999999</v>
      </c>
      <c r="W51" s="399">
        <v>19912.432499999999</v>
      </c>
      <c r="X51" s="399">
        <v>17551.397249999998</v>
      </c>
      <c r="Y51" s="399">
        <v>0</v>
      </c>
      <c r="Z51" s="399">
        <v>1466.0442258432895</v>
      </c>
      <c r="AA51" s="399">
        <v>0</v>
      </c>
      <c r="AB51" s="399">
        <v>0</v>
      </c>
      <c r="AC51" s="399">
        <v>0</v>
      </c>
      <c r="AD51" s="399">
        <v>2589.0065000604855</v>
      </c>
      <c r="AE51" s="399">
        <v>12262.912989081682</v>
      </c>
      <c r="AF51" s="399">
        <v>2888.3702599577105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226.55118875572049</v>
      </c>
      <c r="AM51" s="399"/>
      <c r="AN51" s="399">
        <v>51.792517435304916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427.87085516733111</v>
      </c>
      <c r="BH51" s="399">
        <v>0</v>
      </c>
      <c r="BI51" s="399">
        <v>0</v>
      </c>
      <c r="BJ51" s="399">
        <v>0</v>
      </c>
      <c r="BK51" s="399">
        <v>6580.5</v>
      </c>
      <c r="BL51" s="399">
        <v>81</v>
      </c>
      <c r="BM51" s="399"/>
      <c r="BN51" s="399"/>
      <c r="BO51" s="399"/>
      <c r="BP51" s="399"/>
      <c r="BQ51" s="399"/>
      <c r="BR51" s="399"/>
      <c r="BS51" s="399"/>
      <c r="BT51" s="399"/>
      <c r="BU51" s="399"/>
      <c r="BV51" s="399">
        <v>3316.2411151250417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17555.042399999998</v>
      </c>
      <c r="CJ51" s="399">
        <v>-2357.4200999999957</v>
      </c>
      <c r="CK51" s="399"/>
      <c r="CL51" s="399"/>
      <c r="CM51" s="399"/>
      <c r="CN51" s="399"/>
      <c r="CO51" s="399">
        <v>-2361.0352500000013</v>
      </c>
      <c r="CP51" s="399">
        <v>0</v>
      </c>
      <c r="CQ51" s="399">
        <v>31</v>
      </c>
      <c r="CR51" s="399">
        <v>-181.96664506024172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-13.851650492422323</v>
      </c>
      <c r="DA51" s="399">
        <v>0</v>
      </c>
      <c r="DB51" s="399">
        <v>0</v>
      </c>
      <c r="DC51" s="399">
        <v>0</v>
      </c>
      <c r="DD51" s="399">
        <v>0</v>
      </c>
      <c r="DE51" s="399">
        <v>0</v>
      </c>
      <c r="DF51" s="399">
        <v>0</v>
      </c>
      <c r="DG51" s="399">
        <v>0</v>
      </c>
      <c r="DH51" s="399">
        <v>0</v>
      </c>
      <c r="DI51" s="399">
        <v>-144.52596062483258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-19.306308187644106</v>
      </c>
      <c r="DP51" s="399">
        <v>-4.2827257553416374</v>
      </c>
      <c r="DQ51" s="399">
        <v>0</v>
      </c>
      <c r="DR51" s="399">
        <v>0</v>
      </c>
      <c r="DS51" s="399"/>
      <c r="DT51" s="399"/>
      <c r="DU51" s="399"/>
      <c r="DV51" s="399">
        <v>12262.912989081682</v>
      </c>
      <c r="DW51" s="399">
        <v>0</v>
      </c>
      <c r="DX51" s="399">
        <v>0</v>
      </c>
      <c r="DY51" s="399">
        <v>-2361.035249999999</v>
      </c>
      <c r="DZ51" s="399">
        <v>0</v>
      </c>
      <c r="EA51" s="399">
        <v>0</v>
      </c>
      <c r="EB51" s="399">
        <v>0</v>
      </c>
      <c r="EC51" s="399">
        <v>-2179.0456664209541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229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954</v>
      </c>
      <c r="C52" s="399" t="s">
        <v>2336</v>
      </c>
      <c r="D52" s="399" t="s">
        <v>2349</v>
      </c>
      <c r="E52" s="399" t="s">
        <v>2350</v>
      </c>
      <c r="F52" s="399" t="s">
        <v>2351</v>
      </c>
      <c r="G52" s="399" t="s">
        <v>1237</v>
      </c>
      <c r="H52" s="399" t="s">
        <v>1237</v>
      </c>
      <c r="I52" s="399" t="s">
        <v>1237</v>
      </c>
      <c r="J52" s="399" t="s">
        <v>2337</v>
      </c>
      <c r="K52" s="788">
        <v>44470</v>
      </c>
      <c r="L52" s="399">
        <v>0</v>
      </c>
      <c r="M52" s="399">
        <v>0</v>
      </c>
      <c r="N52" s="399">
        <v>83.29</v>
      </c>
      <c r="O52" s="399">
        <v>83.29</v>
      </c>
      <c r="P52" s="399">
        <v>83.29</v>
      </c>
      <c r="Q52" s="399">
        <v>83.29</v>
      </c>
      <c r="R52" s="399"/>
      <c r="S52" s="399">
        <v>388.92</v>
      </c>
      <c r="T52" s="399">
        <v>65.989999999999995</v>
      </c>
      <c r="U52" s="399"/>
      <c r="V52" s="399">
        <v>37889.4539</v>
      </c>
      <c r="W52" s="399">
        <v>37889.4539</v>
      </c>
      <c r="X52" s="399">
        <v>33396.791300000004</v>
      </c>
      <c r="Y52" s="399">
        <v>0</v>
      </c>
      <c r="Z52" s="399">
        <v>2789.5639860339879</v>
      </c>
      <c r="AA52" s="399">
        <v>0</v>
      </c>
      <c r="AB52" s="399">
        <v>0</v>
      </c>
      <c r="AC52" s="399">
        <v>0</v>
      </c>
      <c r="AD52" s="399">
        <v>4926.3174772386583</v>
      </c>
      <c r="AE52" s="399">
        <v>23333.661996815681</v>
      </c>
      <c r="AF52" s="399">
        <v>5495.9417413720721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431.0777437717623</v>
      </c>
      <c r="AM52" s="399"/>
      <c r="AN52" s="399">
        <v>98.549920143410418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814.14537652285935</v>
      </c>
      <c r="BH52" s="399">
        <v>0</v>
      </c>
      <c r="BI52" s="399">
        <v>0</v>
      </c>
      <c r="BJ52" s="399">
        <v>0</v>
      </c>
      <c r="BK52" s="399">
        <v>14982.57</v>
      </c>
      <c r="BL52" s="399">
        <v>2</v>
      </c>
      <c r="BM52" s="399"/>
      <c r="BN52" s="399"/>
      <c r="BO52" s="399"/>
      <c r="BP52" s="399"/>
      <c r="BQ52" s="399"/>
      <c r="BR52" s="399"/>
      <c r="BS52" s="399"/>
      <c r="BT52" s="399"/>
      <c r="BU52" s="399"/>
      <c r="BV52" s="399">
        <v>6310.087117894931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33396.791300000004</v>
      </c>
      <c r="CJ52" s="399">
        <v>-4492.6925999999949</v>
      </c>
      <c r="CK52" s="399"/>
      <c r="CL52" s="399"/>
      <c r="CM52" s="399"/>
      <c r="CN52" s="399"/>
      <c r="CO52" s="399">
        <v>-4492.6626000000006</v>
      </c>
      <c r="CP52" s="399">
        <v>0</v>
      </c>
      <c r="CQ52" s="399">
        <v>31</v>
      </c>
      <c r="CR52" s="399">
        <v>-346.24303330789007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-26.356684661803229</v>
      </c>
      <c r="DA52" s="399">
        <v>0</v>
      </c>
      <c r="DB52" s="399">
        <v>0</v>
      </c>
      <c r="DC52" s="399">
        <v>0</v>
      </c>
      <c r="DD52" s="399">
        <v>0</v>
      </c>
      <c r="DE52" s="399">
        <v>0</v>
      </c>
      <c r="DF52" s="399">
        <v>0</v>
      </c>
      <c r="DG52" s="399">
        <v>0</v>
      </c>
      <c r="DH52" s="399">
        <v>0</v>
      </c>
      <c r="DI52" s="399">
        <v>-275.0015365833151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-36.735714430814994</v>
      </c>
      <c r="DP52" s="399">
        <v>-8.1490976319556268</v>
      </c>
      <c r="DQ52" s="399">
        <v>0</v>
      </c>
      <c r="DR52" s="399">
        <v>0</v>
      </c>
      <c r="DS52" s="399"/>
      <c r="DT52" s="399"/>
      <c r="DU52" s="399"/>
      <c r="DV52" s="399">
        <v>23333.661996815681</v>
      </c>
      <c r="DW52" s="399">
        <v>0</v>
      </c>
      <c r="DX52" s="399">
        <v>0</v>
      </c>
      <c r="DY52" s="399">
        <v>-4492.6625999999997</v>
      </c>
      <c r="DZ52" s="399">
        <v>0</v>
      </c>
      <c r="EA52" s="399">
        <v>0</v>
      </c>
      <c r="EB52" s="399">
        <v>0</v>
      </c>
      <c r="EC52" s="399">
        <v>-4146.2509846691573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229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954</v>
      </c>
      <c r="C53" s="399" t="s">
        <v>2336</v>
      </c>
      <c r="D53" s="399" t="s">
        <v>1822</v>
      </c>
      <c r="E53" s="399" t="s">
        <v>919</v>
      </c>
      <c r="F53" s="399" t="s">
        <v>2352</v>
      </c>
      <c r="G53" s="399" t="s">
        <v>1237</v>
      </c>
      <c r="H53" s="399" t="s">
        <v>1237</v>
      </c>
      <c r="I53" s="399" t="s">
        <v>1237</v>
      </c>
      <c r="J53" s="399" t="s">
        <v>2337</v>
      </c>
      <c r="K53" s="788">
        <v>44470</v>
      </c>
      <c r="L53" s="399">
        <v>0</v>
      </c>
      <c r="M53" s="399">
        <v>0</v>
      </c>
      <c r="N53" s="399">
        <v>4.6639999999999997</v>
      </c>
      <c r="O53" s="399">
        <v>4.3841599999999996</v>
      </c>
      <c r="P53" s="399">
        <v>4.6639999999999997</v>
      </c>
      <c r="Q53" s="399">
        <v>4.3841599999999996</v>
      </c>
      <c r="R53" s="399"/>
      <c r="S53" s="399">
        <v>707.13</v>
      </c>
      <c r="T53" s="399">
        <v>119.97</v>
      </c>
      <c r="U53" s="399"/>
      <c r="V53" s="399">
        <v>3857.5944</v>
      </c>
      <c r="W53" s="399">
        <v>3857.5944</v>
      </c>
      <c r="X53" s="399">
        <v>3400.1959199999992</v>
      </c>
      <c r="Y53" s="399">
        <v>0</v>
      </c>
      <c r="Z53" s="399">
        <v>284.01371835236148</v>
      </c>
      <c r="AA53" s="399">
        <v>0</v>
      </c>
      <c r="AB53" s="399">
        <v>0</v>
      </c>
      <c r="AC53" s="399">
        <v>0</v>
      </c>
      <c r="AD53" s="399">
        <v>501.56287918098042</v>
      </c>
      <c r="AE53" s="399">
        <v>2375.6687925680985</v>
      </c>
      <c r="AF53" s="399">
        <v>559.55800176293917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43.889293638906764</v>
      </c>
      <c r="AM53" s="399"/>
      <c r="AN53" s="399">
        <v>10.033657375628749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82.890536593995108</v>
      </c>
      <c r="BH53" s="399">
        <v>0</v>
      </c>
      <c r="BI53" s="399">
        <v>0</v>
      </c>
      <c r="BJ53" s="399">
        <v>0</v>
      </c>
      <c r="BK53" s="399">
        <v>1276.9100000000001</v>
      </c>
      <c r="BL53" s="399">
        <v>7</v>
      </c>
      <c r="BM53" s="399"/>
      <c r="BN53" s="399"/>
      <c r="BO53" s="399"/>
      <c r="BP53" s="399"/>
      <c r="BQ53" s="399">
        <v>204.01175520000007</v>
      </c>
      <c r="BR53" s="399"/>
      <c r="BS53" s="399"/>
      <c r="BT53" s="399"/>
      <c r="BU53" s="399"/>
      <c r="BV53" s="399">
        <v>642.44853835693425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3193.1513999999997</v>
      </c>
      <c r="CJ53" s="399">
        <v>-433.0173360000008</v>
      </c>
      <c r="CK53" s="399"/>
      <c r="CL53" s="399"/>
      <c r="CM53" s="399"/>
      <c r="CN53" s="399"/>
      <c r="CO53" s="399">
        <v>-457.39848000000018</v>
      </c>
      <c r="CP53" s="399">
        <v>0</v>
      </c>
      <c r="CQ53" s="399">
        <v>31</v>
      </c>
      <c r="CR53" s="399">
        <v>-35.252022120912443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-2.6834516260294095</v>
      </c>
      <c r="DA53" s="399">
        <v>0</v>
      </c>
      <c r="DB53" s="399">
        <v>0</v>
      </c>
      <c r="DC53" s="399">
        <v>0</v>
      </c>
      <c r="DD53" s="399">
        <v>0</v>
      </c>
      <c r="DE53" s="399">
        <v>0</v>
      </c>
      <c r="DF53" s="399">
        <v>0</v>
      </c>
      <c r="DG53" s="399">
        <v>0</v>
      </c>
      <c r="DH53" s="399">
        <v>0</v>
      </c>
      <c r="DI53" s="399">
        <v>-27.998715694879309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-3.7401711894983265</v>
      </c>
      <c r="DP53" s="399">
        <v>-0.82968361050523143</v>
      </c>
      <c r="DQ53" s="399">
        <v>0</v>
      </c>
      <c r="DR53" s="399">
        <v>0</v>
      </c>
      <c r="DS53" s="399"/>
      <c r="DT53" s="399"/>
      <c r="DU53" s="399"/>
      <c r="DV53" s="399">
        <v>2375.6687925680985</v>
      </c>
      <c r="DW53" s="399">
        <v>0</v>
      </c>
      <c r="DX53" s="399">
        <v>0</v>
      </c>
      <c r="DY53" s="399">
        <v>-457.39848000000029</v>
      </c>
      <c r="DZ53" s="399">
        <v>0</v>
      </c>
      <c r="EA53" s="399">
        <v>0</v>
      </c>
      <c r="EB53" s="399">
        <v>0</v>
      </c>
      <c r="EC53" s="399">
        <v>-422.14201404724145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229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954</v>
      </c>
      <c r="C54" s="399" t="s">
        <v>2353</v>
      </c>
      <c r="D54" s="399" t="s">
        <v>533</v>
      </c>
      <c r="E54" s="399" t="s">
        <v>919</v>
      </c>
      <c r="F54" s="399" t="s">
        <v>2352</v>
      </c>
      <c r="G54" s="399" t="s">
        <v>1237</v>
      </c>
      <c r="H54" s="399" t="s">
        <v>1237</v>
      </c>
      <c r="I54" s="399" t="s">
        <v>891</v>
      </c>
      <c r="J54" s="399" t="s">
        <v>2337</v>
      </c>
      <c r="K54" s="788">
        <v>44470</v>
      </c>
      <c r="L54" s="399">
        <v>101</v>
      </c>
      <c r="M54" s="399">
        <v>94.94</v>
      </c>
      <c r="N54" s="399">
        <v>4.5910000000000002</v>
      </c>
      <c r="O54" s="399">
        <v>4.3155400000000004</v>
      </c>
      <c r="P54" s="399">
        <v>4.5910000000000002</v>
      </c>
      <c r="Q54" s="399">
        <v>4.3155400000000004</v>
      </c>
      <c r="R54" s="399">
        <v>134.72</v>
      </c>
      <c r="S54" s="399">
        <v>72.13</v>
      </c>
      <c r="T54" s="399">
        <v>119.97</v>
      </c>
      <c r="U54" s="399">
        <v>13606.72</v>
      </c>
      <c r="V54" s="399">
        <v>881.93110000000001</v>
      </c>
      <c r="W54" s="399">
        <v>14488.651099999999</v>
      </c>
      <c r="X54" s="399">
        <v>12584.11191</v>
      </c>
      <c r="Y54" s="399">
        <v>0</v>
      </c>
      <c r="Z54" s="399">
        <v>243.22450116454783</v>
      </c>
      <c r="AA54" s="399">
        <v>0</v>
      </c>
      <c r="AB54" s="399">
        <v>0</v>
      </c>
      <c r="AC54" s="399">
        <v>0</v>
      </c>
      <c r="AD54" s="399">
        <v>3136.7946718783346</v>
      </c>
      <c r="AE54" s="399">
        <v>10470.363840809992</v>
      </c>
      <c r="AF54" s="399">
        <v>550.79991125507161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43.202347147560239</v>
      </c>
      <c r="AM54" s="399"/>
      <c r="AN54" s="399">
        <v>3.8598005778104647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40.877563435949575</v>
      </c>
      <c r="BH54" s="399">
        <v>0</v>
      </c>
      <c r="BI54" s="399">
        <v>0</v>
      </c>
      <c r="BJ54" s="399">
        <v>0</v>
      </c>
      <c r="BK54" s="399">
        <v>0</v>
      </c>
      <c r="BL54" s="399">
        <v>0</v>
      </c>
      <c r="BM54" s="399"/>
      <c r="BN54" s="399"/>
      <c r="BO54" s="399"/>
      <c r="BP54" s="399"/>
      <c r="BQ54" s="399">
        <v>755.0467146000002</v>
      </c>
      <c r="BR54" s="399"/>
      <c r="BS54" s="399"/>
      <c r="BT54" s="399"/>
      <c r="BU54" s="399"/>
      <c r="BV54" s="399">
        <v>591.67747469102119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11829.894799999998</v>
      </c>
      <c r="CJ54" s="399">
        <v>-1789.4672339999997</v>
      </c>
      <c r="CK54" s="399"/>
      <c r="CL54" s="399"/>
      <c r="CM54" s="399"/>
      <c r="CN54" s="399"/>
      <c r="CO54" s="399">
        <v>-1904.53919</v>
      </c>
      <c r="CP54" s="399">
        <v>0</v>
      </c>
      <c r="CQ54" s="399">
        <v>31</v>
      </c>
      <c r="CR54" s="399">
        <v>-44.760835888600923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-16.782415749190477</v>
      </c>
      <c r="DA54" s="399">
        <v>0</v>
      </c>
      <c r="DB54" s="399">
        <v>0</v>
      </c>
      <c r="DC54" s="399">
        <v>0</v>
      </c>
      <c r="DD54" s="399">
        <v>0</v>
      </c>
      <c r="DE54" s="399">
        <v>0</v>
      </c>
      <c r="DF54" s="399">
        <v>0</v>
      </c>
      <c r="DG54" s="399">
        <v>0</v>
      </c>
      <c r="DH54" s="399">
        <v>0</v>
      </c>
      <c r="DI54" s="399">
        <v>-23.977622269943225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-3.6816307742252974</v>
      </c>
      <c r="DP54" s="399">
        <v>-0.31916709524150244</v>
      </c>
      <c r="DQ54" s="399">
        <v>0</v>
      </c>
      <c r="DR54" s="399">
        <v>0</v>
      </c>
      <c r="DS54" s="399"/>
      <c r="DT54" s="399"/>
      <c r="DU54" s="399">
        <v>10470.363840809992</v>
      </c>
      <c r="DV54" s="399">
        <v>0</v>
      </c>
      <c r="DW54" s="399">
        <v>0</v>
      </c>
      <c r="DX54" s="399">
        <v>0</v>
      </c>
      <c r="DY54" s="399">
        <v>-1904.5391899999995</v>
      </c>
      <c r="DZ54" s="399">
        <v>0</v>
      </c>
      <c r="EA54" s="399">
        <v>0</v>
      </c>
      <c r="EB54" s="399">
        <v>0</v>
      </c>
      <c r="EC54" s="399">
        <v>-1860.5204956996276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229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954</v>
      </c>
      <c r="C55" s="399" t="s">
        <v>2353</v>
      </c>
      <c r="D55" s="399" t="s">
        <v>533</v>
      </c>
      <c r="E55" s="399" t="s">
        <v>919</v>
      </c>
      <c r="F55" s="399" t="s">
        <v>2352</v>
      </c>
      <c r="G55" s="399" t="s">
        <v>1237</v>
      </c>
      <c r="H55" s="399" t="s">
        <v>1237</v>
      </c>
      <c r="I55" s="399" t="s">
        <v>2322</v>
      </c>
      <c r="J55" s="399" t="s">
        <v>2337</v>
      </c>
      <c r="K55" s="788">
        <v>44470</v>
      </c>
      <c r="L55" s="399">
        <v>101</v>
      </c>
      <c r="M55" s="399">
        <v>94.94</v>
      </c>
      <c r="N55" s="399">
        <v>39.823999999999998</v>
      </c>
      <c r="O55" s="399">
        <v>37.434559999999998</v>
      </c>
      <c r="P55" s="399">
        <v>39.823999999999998</v>
      </c>
      <c r="Q55" s="399">
        <v>37.434559999999998</v>
      </c>
      <c r="R55" s="399">
        <v>46.29</v>
      </c>
      <c r="S55" s="399">
        <v>72.13</v>
      </c>
      <c r="T55" s="399">
        <v>119.97</v>
      </c>
      <c r="U55" s="399">
        <v>4675.29</v>
      </c>
      <c r="V55" s="399">
        <v>7650.1903999999995</v>
      </c>
      <c r="W55" s="399">
        <v>12325.4804</v>
      </c>
      <c r="X55" s="399">
        <v>11563.812239999999</v>
      </c>
      <c r="Y55" s="399">
        <v>0</v>
      </c>
      <c r="Z55" s="399">
        <v>2109.8175853576458</v>
      </c>
      <c r="AA55" s="399">
        <v>0</v>
      </c>
      <c r="AB55" s="399">
        <v>0</v>
      </c>
      <c r="AC55" s="399">
        <v>0</v>
      </c>
      <c r="AD55" s="399">
        <v>1809.2142497251059</v>
      </c>
      <c r="AE55" s="399">
        <v>2865.7162592474206</v>
      </c>
      <c r="AF55" s="399">
        <v>4777.8383066482183</v>
      </c>
      <c r="AG55" s="399">
        <v>0</v>
      </c>
      <c r="AH55" s="399">
        <v>0</v>
      </c>
      <c r="AI55" s="399">
        <v>0</v>
      </c>
      <c r="AJ55" s="399">
        <v>0</v>
      </c>
      <c r="AK55" s="399">
        <v>0</v>
      </c>
      <c r="AL55" s="399">
        <v>374.75283659430164</v>
      </c>
      <c r="AM55" s="399"/>
      <c r="AN55" s="399">
        <v>33.48131087142756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354.58681905320316</v>
      </c>
      <c r="BH55" s="399">
        <v>0</v>
      </c>
      <c r="BI55" s="399">
        <v>0</v>
      </c>
      <c r="BJ55" s="399">
        <v>0</v>
      </c>
      <c r="BK55" s="399">
        <v>0</v>
      </c>
      <c r="BL55" s="399">
        <v>0</v>
      </c>
      <c r="BM55" s="399"/>
      <c r="BN55" s="399"/>
      <c r="BO55" s="399"/>
      <c r="BP55" s="399"/>
      <c r="BQ55" s="399">
        <v>693.82873440000014</v>
      </c>
      <c r="BR55" s="399"/>
      <c r="BS55" s="399"/>
      <c r="BT55" s="399"/>
      <c r="BU55" s="399"/>
      <c r="BV55" s="399">
        <v>5132.4251257014212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10869.1353</v>
      </c>
      <c r="CJ55" s="399">
        <v>-716.84627600000022</v>
      </c>
      <c r="CK55" s="399"/>
      <c r="CL55" s="399"/>
      <c r="CM55" s="399"/>
      <c r="CN55" s="399"/>
      <c r="CO55" s="399">
        <v>-761.66815999999972</v>
      </c>
      <c r="CP55" s="399">
        <v>0</v>
      </c>
      <c r="CQ55" s="399">
        <v>31</v>
      </c>
      <c r="CR55" s="399">
        <v>-252.37459088966716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-9.6796216821167036</v>
      </c>
      <c r="DA55" s="399">
        <v>0</v>
      </c>
      <c r="DB55" s="399">
        <v>0</v>
      </c>
      <c r="DC55" s="399">
        <v>0</v>
      </c>
      <c r="DD55" s="399">
        <v>0</v>
      </c>
      <c r="DE55" s="399">
        <v>0</v>
      </c>
      <c r="DF55" s="399">
        <v>0</v>
      </c>
      <c r="DG55" s="399">
        <v>0</v>
      </c>
      <c r="DH55" s="399">
        <v>0</v>
      </c>
      <c r="DI55" s="399">
        <v>-207.99059666264861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-31.935801340176056</v>
      </c>
      <c r="DP55" s="399">
        <v>-2.7685712047261148</v>
      </c>
      <c r="DQ55" s="399">
        <v>0</v>
      </c>
      <c r="DR55" s="399">
        <v>0</v>
      </c>
      <c r="DS55" s="399"/>
      <c r="DT55" s="399"/>
      <c r="DU55" s="399">
        <v>2865.7162592474206</v>
      </c>
      <c r="DV55" s="399">
        <v>0</v>
      </c>
      <c r="DW55" s="399">
        <v>0</v>
      </c>
      <c r="DX55" s="399">
        <v>0</v>
      </c>
      <c r="DY55" s="399">
        <v>-761.66816000000017</v>
      </c>
      <c r="DZ55" s="399">
        <v>0</v>
      </c>
      <c r="EA55" s="399">
        <v>0</v>
      </c>
      <c r="EB55" s="399">
        <v>0</v>
      </c>
      <c r="EC55" s="399">
        <v>-509.22049283600245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229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954</v>
      </c>
      <c r="C56" s="399" t="s">
        <v>2353</v>
      </c>
      <c r="D56" s="399" t="s">
        <v>533</v>
      </c>
      <c r="E56" s="399" t="s">
        <v>919</v>
      </c>
      <c r="F56" s="399" t="s">
        <v>2352</v>
      </c>
      <c r="G56" s="399" t="s">
        <v>1237</v>
      </c>
      <c r="H56" s="399" t="s">
        <v>1237</v>
      </c>
      <c r="I56" s="399" t="s">
        <v>1237</v>
      </c>
      <c r="J56" s="399" t="s">
        <v>2337</v>
      </c>
      <c r="K56" s="788">
        <v>44470</v>
      </c>
      <c r="L56" s="399">
        <v>0</v>
      </c>
      <c r="M56" s="399">
        <v>0</v>
      </c>
      <c r="N56" s="399">
        <v>0</v>
      </c>
      <c r="O56" s="399">
        <v>0</v>
      </c>
      <c r="P56" s="399">
        <v>0</v>
      </c>
      <c r="Q56" s="399">
        <v>0</v>
      </c>
      <c r="R56" s="399"/>
      <c r="S56" s="399"/>
      <c r="T56" s="399"/>
      <c r="U56" s="399"/>
      <c r="V56" s="399"/>
      <c r="W56" s="399"/>
      <c r="X56" s="399"/>
      <c r="Y56" s="399"/>
      <c r="Z56" s="399"/>
      <c r="AA56" s="399">
        <v>0</v>
      </c>
      <c r="AB56" s="399"/>
      <c r="AC56" s="399"/>
      <c r="AD56" s="399"/>
      <c r="AE56" s="399"/>
      <c r="AF56" s="399"/>
      <c r="AG56" s="399"/>
      <c r="AH56" s="399"/>
      <c r="AI56" s="399"/>
      <c r="AJ56" s="399"/>
      <c r="AK56" s="399"/>
      <c r="AL56" s="399"/>
      <c r="AM56" s="399"/>
      <c r="AN56" s="399"/>
      <c r="AO56" s="399"/>
      <c r="AP56" s="399"/>
      <c r="AQ56" s="399"/>
      <c r="AR56" s="399"/>
      <c r="AS56" s="399"/>
      <c r="AT56" s="399"/>
      <c r="AU56" s="399"/>
      <c r="AV56" s="399"/>
      <c r="AW56" s="399"/>
      <c r="AX56" s="399"/>
      <c r="AY56" s="399"/>
      <c r="AZ56" s="399">
        <v>0</v>
      </c>
      <c r="BA56" s="399"/>
      <c r="BB56" s="399"/>
      <c r="BC56" s="399"/>
      <c r="BD56" s="399"/>
      <c r="BE56" s="399"/>
      <c r="BF56" s="399"/>
      <c r="BG56" s="399"/>
      <c r="BH56" s="399"/>
      <c r="BI56" s="399">
        <v>0</v>
      </c>
      <c r="BJ56" s="399">
        <v>0</v>
      </c>
      <c r="BK56" s="399">
        <v>9668.65</v>
      </c>
      <c r="BL56" s="399">
        <v>1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/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/>
      <c r="CJ56" s="399">
        <v>-0.03</v>
      </c>
      <c r="CK56" s="399"/>
      <c r="CL56" s="399"/>
      <c r="CM56" s="399"/>
      <c r="CN56" s="399"/>
      <c r="CO56" s="399">
        <v>0</v>
      </c>
      <c r="CP56" s="399">
        <v>0</v>
      </c>
      <c r="CQ56" s="399">
        <v>31</v>
      </c>
      <c r="CR56" s="399"/>
      <c r="CS56" s="399"/>
      <c r="CT56" s="399"/>
      <c r="CU56" s="399"/>
      <c r="CV56" s="399"/>
      <c r="CW56" s="399"/>
      <c r="CX56" s="399"/>
      <c r="CY56" s="399"/>
      <c r="CZ56" s="399"/>
      <c r="DA56" s="399"/>
      <c r="DB56" s="399"/>
      <c r="DC56" s="399"/>
      <c r="DD56" s="399"/>
      <c r="DE56" s="399"/>
      <c r="DF56" s="399"/>
      <c r="DG56" s="399"/>
      <c r="DH56" s="399"/>
      <c r="DI56" s="399"/>
      <c r="DJ56" s="399"/>
      <c r="DK56" s="399">
        <v>0</v>
      </c>
      <c r="DL56" s="399"/>
      <c r="DM56" s="399"/>
      <c r="DN56" s="399"/>
      <c r="DO56" s="399"/>
      <c r="DP56" s="399"/>
      <c r="DQ56" s="399"/>
      <c r="DR56" s="399"/>
      <c r="DS56" s="399"/>
      <c r="DT56" s="399"/>
      <c r="DU56" s="399"/>
      <c r="DV56" s="399"/>
      <c r="DW56" s="399"/>
      <c r="DX56" s="399"/>
      <c r="DY56" s="399"/>
      <c r="DZ56" s="399"/>
      <c r="EA56" s="399"/>
      <c r="EB56" s="399"/>
      <c r="EC56" s="399"/>
      <c r="ED56" s="399"/>
      <c r="EE56" s="399"/>
      <c r="EF56" s="399"/>
      <c r="EG56" s="399"/>
      <c r="EH56" s="399"/>
      <c r="EI56" s="399"/>
      <c r="EJ56" s="399"/>
      <c r="EK56" s="399"/>
      <c r="EL56" s="399"/>
      <c r="EM56" s="399"/>
      <c r="EN56" s="399"/>
      <c r="EO56" s="399"/>
      <c r="EP56" s="399"/>
      <c r="EQ56" s="399"/>
      <c r="ER56" s="399"/>
      <c r="ES56" s="399"/>
      <c r="ET56" s="399"/>
      <c r="EU56" s="399"/>
      <c r="EV56" s="399">
        <v>229</v>
      </c>
      <c r="EW56" s="399"/>
      <c r="EX56" s="399"/>
      <c r="EY56" s="399"/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954</v>
      </c>
      <c r="C57" s="399" t="s">
        <v>2336</v>
      </c>
      <c r="D57" s="399" t="s">
        <v>1819</v>
      </c>
      <c r="E57" s="399" t="s">
        <v>887</v>
      </c>
      <c r="F57" s="399" t="s">
        <v>887</v>
      </c>
      <c r="G57" s="399" t="s">
        <v>1237</v>
      </c>
      <c r="H57" s="399" t="s">
        <v>1237</v>
      </c>
      <c r="I57" s="399" t="s">
        <v>1237</v>
      </c>
      <c r="J57" s="399" t="s">
        <v>2337</v>
      </c>
      <c r="K57" s="788">
        <v>44501</v>
      </c>
      <c r="L57" s="399">
        <v>0</v>
      </c>
      <c r="M57" s="399">
        <v>0</v>
      </c>
      <c r="N57" s="399">
        <v>518.81799999999998</v>
      </c>
      <c r="O57" s="399">
        <v>518.81799999999998</v>
      </c>
      <c r="P57" s="399">
        <v>518.81799999999998</v>
      </c>
      <c r="Q57" s="399">
        <v>518.81799999999998</v>
      </c>
      <c r="R57" s="399"/>
      <c r="S57" s="399">
        <v>707.13</v>
      </c>
      <c r="T57" s="399">
        <v>119.97</v>
      </c>
      <c r="U57" s="399"/>
      <c r="V57" s="399">
        <v>429114.36779999995</v>
      </c>
      <c r="W57" s="399">
        <v>429114.36779999995</v>
      </c>
      <c r="X57" s="399">
        <v>378233.88653999992</v>
      </c>
      <c r="Y57" s="399">
        <v>0</v>
      </c>
      <c r="Z57" s="399">
        <v>31593.35963296215</v>
      </c>
      <c r="AA57" s="399">
        <v>0</v>
      </c>
      <c r="AB57" s="399">
        <v>0</v>
      </c>
      <c r="AC57" s="399">
        <v>0</v>
      </c>
      <c r="AD57" s="399">
        <v>55793.278269922361</v>
      </c>
      <c r="AE57" s="399">
        <v>264266.66629987041</v>
      </c>
      <c r="AF57" s="399">
        <v>62244.589056313169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4882.1945855811173</v>
      </c>
      <c r="AM57" s="399"/>
      <c r="AN57" s="399">
        <v>1116.1325155036357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9220.6480305796213</v>
      </c>
      <c r="BH57" s="399">
        <v>0</v>
      </c>
      <c r="BI57" s="399">
        <v>0</v>
      </c>
      <c r="BJ57" s="399">
        <v>0</v>
      </c>
      <c r="BK57" s="399">
        <v>89434.54</v>
      </c>
      <c r="BL57" s="399">
        <v>3127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>
        <v>71465.237086892797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378235.34460000001</v>
      </c>
      <c r="CJ57" s="399">
        <v>-50879.053199999966</v>
      </c>
      <c r="CK57" s="399"/>
      <c r="CL57" s="399"/>
      <c r="CM57" s="399"/>
      <c r="CN57" s="399"/>
      <c r="CO57" s="399">
        <v>-50880.481260000022</v>
      </c>
      <c r="CP57" s="399">
        <v>0</v>
      </c>
      <c r="CQ57" s="399">
        <v>30</v>
      </c>
      <c r="CR57" s="399">
        <v>-3921.3944281148142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-298.50407498141431</v>
      </c>
      <c r="DA57" s="399">
        <v>0</v>
      </c>
      <c r="DB57" s="399">
        <v>0</v>
      </c>
      <c r="DC57" s="399">
        <v>0</v>
      </c>
      <c r="DD57" s="399">
        <v>0</v>
      </c>
      <c r="DE57" s="399">
        <v>0</v>
      </c>
      <c r="DF57" s="399">
        <v>0</v>
      </c>
      <c r="DG57" s="399">
        <v>0</v>
      </c>
      <c r="DH57" s="399">
        <v>0</v>
      </c>
      <c r="DI57" s="399">
        <v>-3114.5449569866832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-416.05234480985018</v>
      </c>
      <c r="DP57" s="399">
        <v>-92.293051336857388</v>
      </c>
      <c r="DQ57" s="399">
        <v>0</v>
      </c>
      <c r="DR57" s="399">
        <v>0</v>
      </c>
      <c r="DS57" s="399"/>
      <c r="DT57" s="399"/>
      <c r="DU57" s="399"/>
      <c r="DV57" s="399">
        <v>264266.66629987041</v>
      </c>
      <c r="DW57" s="399">
        <v>0</v>
      </c>
      <c r="DX57" s="399">
        <v>0</v>
      </c>
      <c r="DY57" s="399">
        <v>-50880.48126000003</v>
      </c>
      <c r="DZ57" s="399">
        <v>0</v>
      </c>
      <c r="EA57" s="399">
        <v>0</v>
      </c>
      <c r="EB57" s="399">
        <v>0</v>
      </c>
      <c r="EC57" s="399">
        <v>-46958.592505137553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229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2338</v>
      </c>
      <c r="C58" s="399" t="s">
        <v>2336</v>
      </c>
      <c r="D58" s="399" t="s">
        <v>1819</v>
      </c>
      <c r="E58" s="399" t="s">
        <v>887</v>
      </c>
      <c r="F58" s="399" t="s">
        <v>887</v>
      </c>
      <c r="G58" s="399" t="s">
        <v>1237</v>
      </c>
      <c r="H58" s="399" t="s">
        <v>1237</v>
      </c>
      <c r="I58" s="399" t="s">
        <v>1237</v>
      </c>
      <c r="J58" s="399" t="s">
        <v>2337</v>
      </c>
      <c r="K58" s="788">
        <v>44501</v>
      </c>
      <c r="L58" s="399">
        <v>0</v>
      </c>
      <c r="M58" s="399">
        <v>0</v>
      </c>
      <c r="N58" s="399">
        <v>-10.615</v>
      </c>
      <c r="O58" s="399">
        <v>-10.615</v>
      </c>
      <c r="P58" s="399">
        <v>-10.615</v>
      </c>
      <c r="Q58" s="399">
        <v>-10.615</v>
      </c>
      <c r="R58" s="399"/>
      <c r="S58" s="399">
        <v>707.13</v>
      </c>
      <c r="T58" s="399">
        <v>119.97</v>
      </c>
      <c r="U58" s="399"/>
      <c r="V58" s="399">
        <v>-8779.6664999999994</v>
      </c>
      <c r="W58" s="399">
        <v>-8779.6664999999994</v>
      </c>
      <c r="X58" s="399">
        <v>-7738.6534499999998</v>
      </c>
      <c r="Y58" s="399">
        <v>0</v>
      </c>
      <c r="Z58" s="399">
        <v>-646.3991467217661</v>
      </c>
      <c r="AA58" s="399">
        <v>0</v>
      </c>
      <c r="AB58" s="399">
        <v>0</v>
      </c>
      <c r="AC58" s="399">
        <v>0</v>
      </c>
      <c r="AD58" s="399">
        <v>-1141.5287226642597</v>
      </c>
      <c r="AE58" s="399">
        <v>-5406.8877000665452</v>
      </c>
      <c r="AF58" s="399">
        <v>-1273.5223389180103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-99.88954802251186</v>
      </c>
      <c r="AM58" s="399"/>
      <c r="AN58" s="399">
        <v>-22.836036244060715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-188.65416937076719</v>
      </c>
      <c r="BH58" s="399">
        <v>0</v>
      </c>
      <c r="BI58" s="399">
        <v>0</v>
      </c>
      <c r="BJ58" s="399">
        <v>0</v>
      </c>
      <c r="BK58" s="399">
        <v>-3057.47</v>
      </c>
      <c r="BL58" s="399">
        <v>0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-1462.1765082887775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-7742.2985999999992</v>
      </c>
      <c r="CJ58" s="399">
        <v>1037.3378999999995</v>
      </c>
      <c r="CK58" s="399"/>
      <c r="CL58" s="399"/>
      <c r="CM58" s="399"/>
      <c r="CN58" s="399"/>
      <c r="CO58" s="399">
        <v>1041.0130500000005</v>
      </c>
      <c r="CP58" s="399">
        <v>0</v>
      </c>
      <c r="CQ58" s="399">
        <v>30</v>
      </c>
      <c r="CR58" s="399">
        <v>80.231606949716934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6.1073840073545398</v>
      </c>
      <c r="DA58" s="399">
        <v>0</v>
      </c>
      <c r="DB58" s="399">
        <v>0</v>
      </c>
      <c r="DC58" s="399">
        <v>0</v>
      </c>
      <c r="DD58" s="399">
        <v>0</v>
      </c>
      <c r="DE58" s="399">
        <v>0</v>
      </c>
      <c r="DF58" s="399">
        <v>0</v>
      </c>
      <c r="DG58" s="399">
        <v>0</v>
      </c>
      <c r="DH58" s="399">
        <v>0</v>
      </c>
      <c r="DI58" s="399">
        <v>63.723492088581452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8.5124179194950074</v>
      </c>
      <c r="DP58" s="399">
        <v>1.8883129342866667</v>
      </c>
      <c r="DQ58" s="399">
        <v>0</v>
      </c>
      <c r="DR58" s="399">
        <v>0</v>
      </c>
      <c r="DS58" s="399"/>
      <c r="DT58" s="399"/>
      <c r="DU58" s="399"/>
      <c r="DV58" s="399">
        <v>-5406.8877000665452</v>
      </c>
      <c r="DW58" s="399">
        <v>0</v>
      </c>
      <c r="DX58" s="399">
        <v>0</v>
      </c>
      <c r="DY58" s="399">
        <v>1041.0130500000005</v>
      </c>
      <c r="DZ58" s="399">
        <v>0</v>
      </c>
      <c r="EA58" s="399">
        <v>0</v>
      </c>
      <c r="EB58" s="399">
        <v>0</v>
      </c>
      <c r="EC58" s="399">
        <v>960.771329140538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229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954</v>
      </c>
      <c r="C59" s="399" t="s">
        <v>2336</v>
      </c>
      <c r="D59" s="399" t="s">
        <v>1819</v>
      </c>
      <c r="E59" s="399" t="s">
        <v>887</v>
      </c>
      <c r="F59" s="399" t="s">
        <v>2340</v>
      </c>
      <c r="G59" s="399" t="s">
        <v>1237</v>
      </c>
      <c r="H59" s="399" t="s">
        <v>1237</v>
      </c>
      <c r="I59" s="399" t="s">
        <v>1237</v>
      </c>
      <c r="J59" s="399" t="s">
        <v>2337</v>
      </c>
      <c r="K59" s="788">
        <v>44501</v>
      </c>
      <c r="L59" s="399">
        <v>0</v>
      </c>
      <c r="M59" s="399">
        <v>0</v>
      </c>
      <c r="N59" s="399">
        <v>4.08</v>
      </c>
      <c r="O59" s="399">
        <v>4.08</v>
      </c>
      <c r="P59" s="399">
        <v>4.08</v>
      </c>
      <c r="Q59" s="399">
        <v>4.08</v>
      </c>
      <c r="R59" s="399"/>
      <c r="S59" s="399">
        <v>636.83000000000004</v>
      </c>
      <c r="T59" s="399">
        <v>119.97</v>
      </c>
      <c r="U59" s="399"/>
      <c r="V59" s="399">
        <v>3087.7440000000006</v>
      </c>
      <c r="W59" s="399">
        <v>3087.7440000000006</v>
      </c>
      <c r="X59" s="399">
        <v>2715.3624</v>
      </c>
      <c r="Y59" s="399">
        <v>0</v>
      </c>
      <c r="Z59" s="399">
        <v>0</v>
      </c>
      <c r="AA59" s="399">
        <v>0</v>
      </c>
      <c r="AB59" s="399">
        <v>0</v>
      </c>
      <c r="AC59" s="399">
        <v>0</v>
      </c>
      <c r="AD59" s="399">
        <v>438.75998007255578</v>
      </c>
      <c r="AE59" s="399">
        <v>2078.2008305484223</v>
      </c>
      <c r="AF59" s="399">
        <v>489.49327769999832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0</v>
      </c>
      <c r="AM59" s="399"/>
      <c r="AN59" s="399">
        <v>8.7772989049239492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72.511447106239288</v>
      </c>
      <c r="BH59" s="399">
        <v>0</v>
      </c>
      <c r="BI59" s="399">
        <v>0</v>
      </c>
      <c r="BJ59" s="399">
        <v>0</v>
      </c>
      <c r="BK59" s="399">
        <v>129.96</v>
      </c>
      <c r="BL59" s="399">
        <v>7</v>
      </c>
      <c r="BM59" s="399"/>
      <c r="BN59" s="399"/>
      <c r="BO59" s="399"/>
      <c r="BP59" s="399"/>
      <c r="BQ59" s="399"/>
      <c r="BR59" s="399"/>
      <c r="BS59" s="399"/>
      <c r="BT59" s="399">
        <v>1764.9671999999998</v>
      </c>
      <c r="BU59" s="399"/>
      <c r="BV59" s="399">
        <v>562.00472480623762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950.39520000000005</v>
      </c>
      <c r="CJ59" s="399">
        <v>-130.34519999999986</v>
      </c>
      <c r="CK59" s="399"/>
      <c r="CL59" s="399"/>
      <c r="CM59" s="399"/>
      <c r="CN59" s="399"/>
      <c r="CO59" s="399">
        <v>-372.38160000000039</v>
      </c>
      <c r="CP59" s="399">
        <v>0</v>
      </c>
      <c r="CQ59" s="399">
        <v>30</v>
      </c>
      <c r="CR59" s="399">
        <v>-3.0732400868485001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-2.3474448186535142</v>
      </c>
      <c r="DA59" s="399">
        <v>0</v>
      </c>
      <c r="DB59" s="399">
        <v>0</v>
      </c>
      <c r="DC59" s="399">
        <v>0</v>
      </c>
      <c r="DD59" s="399">
        <v>0</v>
      </c>
      <c r="DE59" s="399">
        <v>0</v>
      </c>
      <c r="DF59" s="399">
        <v>0</v>
      </c>
      <c r="DG59" s="399">
        <v>0</v>
      </c>
      <c r="DH59" s="399">
        <v>0</v>
      </c>
      <c r="DI59" s="399">
        <v>0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0</v>
      </c>
      <c r="DP59" s="399">
        <v>-0.72579526819496998</v>
      </c>
      <c r="DQ59" s="399">
        <v>0</v>
      </c>
      <c r="DR59" s="399">
        <v>0</v>
      </c>
      <c r="DS59" s="399"/>
      <c r="DT59" s="399"/>
      <c r="DU59" s="399"/>
      <c r="DV59" s="399">
        <v>2078.2008305484223</v>
      </c>
      <c r="DW59" s="399">
        <v>0</v>
      </c>
      <c r="DX59" s="399">
        <v>0</v>
      </c>
      <c r="DY59" s="399">
        <v>-372.38160000000062</v>
      </c>
      <c r="DZ59" s="399">
        <v>0</v>
      </c>
      <c r="EA59" s="399">
        <v>0</v>
      </c>
      <c r="EB59" s="399">
        <v>0</v>
      </c>
      <c r="EC59" s="399">
        <v>-369.28375156791276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229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954</v>
      </c>
      <c r="C60" s="399" t="s">
        <v>2336</v>
      </c>
      <c r="D60" s="399" t="s">
        <v>1819</v>
      </c>
      <c r="E60" s="399" t="s">
        <v>887</v>
      </c>
      <c r="F60" s="399" t="s">
        <v>2341</v>
      </c>
      <c r="G60" s="399" t="s">
        <v>1237</v>
      </c>
      <c r="H60" s="399" t="s">
        <v>1237</v>
      </c>
      <c r="I60" s="399" t="s">
        <v>1237</v>
      </c>
      <c r="J60" s="399" t="s">
        <v>2337</v>
      </c>
      <c r="K60" s="788">
        <v>44501</v>
      </c>
      <c r="L60" s="399">
        <v>0</v>
      </c>
      <c r="M60" s="399">
        <v>0</v>
      </c>
      <c r="N60" s="399">
        <v>8.048</v>
      </c>
      <c r="O60" s="399">
        <v>8.048</v>
      </c>
      <c r="P60" s="399">
        <v>8.048</v>
      </c>
      <c r="Q60" s="399">
        <v>8.048</v>
      </c>
      <c r="R60" s="399"/>
      <c r="S60" s="399">
        <v>636.83000000000004</v>
      </c>
      <c r="T60" s="399">
        <v>119.97</v>
      </c>
      <c r="U60" s="399"/>
      <c r="V60" s="399">
        <v>6090.7263999999996</v>
      </c>
      <c r="W60" s="399">
        <v>6090.7263999999996</v>
      </c>
      <c r="X60" s="399">
        <v>5356.1854399999993</v>
      </c>
      <c r="Y60" s="399">
        <v>0</v>
      </c>
      <c r="Z60" s="399">
        <v>0</v>
      </c>
      <c r="AA60" s="399">
        <v>0</v>
      </c>
      <c r="AB60" s="399">
        <v>0</v>
      </c>
      <c r="AC60" s="399">
        <v>0</v>
      </c>
      <c r="AD60" s="399">
        <v>865.47556853527669</v>
      </c>
      <c r="AE60" s="399">
        <v>4099.3530108464956</v>
      </c>
      <c r="AF60" s="399">
        <v>965.54948503176138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0</v>
      </c>
      <c r="AM60" s="399"/>
      <c r="AN60" s="399">
        <v>17.313652349712729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143.03238389975829</v>
      </c>
      <c r="BH60" s="399">
        <v>0</v>
      </c>
      <c r="BI60" s="399">
        <v>0</v>
      </c>
      <c r="BJ60" s="399">
        <v>0</v>
      </c>
      <c r="BK60" s="399">
        <v>445.58</v>
      </c>
      <c r="BL60" s="399">
        <v>31</v>
      </c>
      <c r="BM60" s="399"/>
      <c r="BN60" s="399"/>
      <c r="BO60" s="399"/>
      <c r="BP60" s="399"/>
      <c r="BQ60" s="399"/>
      <c r="BR60" s="399"/>
      <c r="BS60" s="399"/>
      <c r="BT60" s="399">
        <v>2142.4580799999999</v>
      </c>
      <c r="BU60" s="399"/>
      <c r="BV60" s="399">
        <v>1108.5818689315197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3214.5259999999998</v>
      </c>
      <c r="CJ60" s="399">
        <v>-439.93984000000091</v>
      </c>
      <c r="CK60" s="399"/>
      <c r="CL60" s="399"/>
      <c r="CM60" s="399"/>
      <c r="CN60" s="399"/>
      <c r="CO60" s="399">
        <v>-734.54096000000072</v>
      </c>
      <c r="CP60" s="399">
        <v>0</v>
      </c>
      <c r="CQ60" s="399">
        <v>30</v>
      </c>
      <c r="CR60" s="399">
        <v>-6.0621167203323694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-4.6304499756184896</v>
      </c>
      <c r="DA60" s="399">
        <v>0</v>
      </c>
      <c r="DB60" s="399">
        <v>0</v>
      </c>
      <c r="DC60" s="399">
        <v>0</v>
      </c>
      <c r="DD60" s="399">
        <v>0</v>
      </c>
      <c r="DE60" s="399">
        <v>0</v>
      </c>
      <c r="DF60" s="399">
        <v>0</v>
      </c>
      <c r="DG60" s="399">
        <v>0</v>
      </c>
      <c r="DH60" s="399">
        <v>0</v>
      </c>
      <c r="DI60" s="399">
        <v>0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0</v>
      </c>
      <c r="DP60" s="399">
        <v>-1.4316667447139988</v>
      </c>
      <c r="DQ60" s="399">
        <v>0</v>
      </c>
      <c r="DR60" s="399">
        <v>0</v>
      </c>
      <c r="DS60" s="399"/>
      <c r="DT60" s="399"/>
      <c r="DU60" s="399"/>
      <c r="DV60" s="399">
        <v>4099.3530108464956</v>
      </c>
      <c r="DW60" s="399">
        <v>0</v>
      </c>
      <c r="DX60" s="399">
        <v>0</v>
      </c>
      <c r="DY60" s="399">
        <v>-734.54096000000027</v>
      </c>
      <c r="DZ60" s="399">
        <v>0</v>
      </c>
      <c r="EA60" s="399">
        <v>0</v>
      </c>
      <c r="EB60" s="399">
        <v>0</v>
      </c>
      <c r="EC60" s="399">
        <v>-728.43030211239238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229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954</v>
      </c>
      <c r="C61" s="399" t="s">
        <v>2336</v>
      </c>
      <c r="D61" s="399" t="s">
        <v>1819</v>
      </c>
      <c r="E61" s="399" t="s">
        <v>887</v>
      </c>
      <c r="F61" s="399" t="s">
        <v>2342</v>
      </c>
      <c r="G61" s="399" t="s">
        <v>1237</v>
      </c>
      <c r="H61" s="399" t="s">
        <v>1237</v>
      </c>
      <c r="I61" s="399" t="s">
        <v>1237</v>
      </c>
      <c r="J61" s="399" t="s">
        <v>2337</v>
      </c>
      <c r="K61" s="788">
        <v>44501</v>
      </c>
      <c r="L61" s="399">
        <v>0</v>
      </c>
      <c r="M61" s="399">
        <v>0</v>
      </c>
      <c r="N61" s="399">
        <v>7.726</v>
      </c>
      <c r="O61" s="399">
        <v>7.726</v>
      </c>
      <c r="P61" s="399">
        <v>7.726</v>
      </c>
      <c r="Q61" s="399">
        <v>7.726</v>
      </c>
      <c r="R61" s="399"/>
      <c r="S61" s="399">
        <v>636.83000000000004</v>
      </c>
      <c r="T61" s="399">
        <v>119.97</v>
      </c>
      <c r="U61" s="399"/>
      <c r="V61" s="399">
        <v>5847.0367999999999</v>
      </c>
      <c r="W61" s="399">
        <v>5847.0367999999999</v>
      </c>
      <c r="X61" s="399">
        <v>5141.8847799999994</v>
      </c>
      <c r="Y61" s="399">
        <v>0</v>
      </c>
      <c r="Z61" s="399">
        <v>0</v>
      </c>
      <c r="AA61" s="399">
        <v>0</v>
      </c>
      <c r="AB61" s="399">
        <v>0</v>
      </c>
      <c r="AC61" s="399">
        <v>0</v>
      </c>
      <c r="AD61" s="399">
        <v>830.84794265700145</v>
      </c>
      <c r="AE61" s="399">
        <v>3935.3381413767429</v>
      </c>
      <c r="AF61" s="399">
        <v>926.91790772308502</v>
      </c>
      <c r="AG61" s="399">
        <v>0</v>
      </c>
      <c r="AH61" s="399">
        <v>0</v>
      </c>
      <c r="AI61" s="399">
        <v>0</v>
      </c>
      <c r="AJ61" s="399">
        <v>0</v>
      </c>
      <c r="AK61" s="399">
        <v>0</v>
      </c>
      <c r="AL61" s="399">
        <v>0</v>
      </c>
      <c r="AM61" s="399"/>
      <c r="AN61" s="399">
        <v>16.620934151824123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137.30966675068746</v>
      </c>
      <c r="BH61" s="399">
        <v>0</v>
      </c>
      <c r="BI61" s="399">
        <v>0</v>
      </c>
      <c r="BJ61" s="399">
        <v>0</v>
      </c>
      <c r="BK61" s="399">
        <v>1093.95</v>
      </c>
      <c r="BL61" s="399">
        <v>67</v>
      </c>
      <c r="BM61" s="399"/>
      <c r="BN61" s="399"/>
      <c r="BO61" s="399"/>
      <c r="BP61" s="399"/>
      <c r="BQ61" s="399"/>
      <c r="BR61" s="399"/>
      <c r="BS61" s="399"/>
      <c r="BT61" s="399">
        <v>514.08803999999964</v>
      </c>
      <c r="BU61" s="399"/>
      <c r="BV61" s="399">
        <v>1064.2275744737724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4630.1927000000005</v>
      </c>
      <c r="CJ61" s="399">
        <v>-632.17042000000038</v>
      </c>
      <c r="CK61" s="399"/>
      <c r="CL61" s="399"/>
      <c r="CM61" s="399"/>
      <c r="CN61" s="399"/>
      <c r="CO61" s="399">
        <v>-705.15202000000079</v>
      </c>
      <c r="CP61" s="399">
        <v>0</v>
      </c>
      <c r="CQ61" s="399">
        <v>30</v>
      </c>
      <c r="CR61" s="399">
        <v>-5.8195717919093113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-4.4451859482639975</v>
      </c>
      <c r="DA61" s="399">
        <v>0</v>
      </c>
      <c r="DB61" s="399">
        <v>0</v>
      </c>
      <c r="DC61" s="399">
        <v>0</v>
      </c>
      <c r="DD61" s="399">
        <v>0</v>
      </c>
      <c r="DE61" s="399">
        <v>0</v>
      </c>
      <c r="DF61" s="399">
        <v>0</v>
      </c>
      <c r="DG61" s="399">
        <v>0</v>
      </c>
      <c r="DH61" s="399">
        <v>0</v>
      </c>
      <c r="DI61" s="399">
        <v>0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0</v>
      </c>
      <c r="DP61" s="399">
        <v>-1.3743858436456691</v>
      </c>
      <c r="DQ61" s="399">
        <v>0</v>
      </c>
      <c r="DR61" s="399">
        <v>0</v>
      </c>
      <c r="DS61" s="399"/>
      <c r="DT61" s="399"/>
      <c r="DU61" s="399"/>
      <c r="DV61" s="399">
        <v>3935.3381413767429</v>
      </c>
      <c r="DW61" s="399">
        <v>0</v>
      </c>
      <c r="DX61" s="399">
        <v>0</v>
      </c>
      <c r="DY61" s="399">
        <v>-705.15202000000045</v>
      </c>
      <c r="DZ61" s="399">
        <v>0</v>
      </c>
      <c r="EA61" s="399">
        <v>0</v>
      </c>
      <c r="EB61" s="399">
        <v>0</v>
      </c>
      <c r="EC61" s="399">
        <v>-699.28584917002308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229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954</v>
      </c>
      <c r="C62" s="399" t="s">
        <v>2336</v>
      </c>
      <c r="D62" s="399" t="s">
        <v>1819</v>
      </c>
      <c r="E62" s="399" t="s">
        <v>887</v>
      </c>
      <c r="F62" s="399" t="s">
        <v>2343</v>
      </c>
      <c r="G62" s="399" t="s">
        <v>1237</v>
      </c>
      <c r="H62" s="399" t="s">
        <v>1237</v>
      </c>
      <c r="I62" s="399" t="s">
        <v>1237</v>
      </c>
      <c r="J62" s="399" t="s">
        <v>2337</v>
      </c>
      <c r="K62" s="788">
        <v>44501</v>
      </c>
      <c r="L62" s="399">
        <v>0</v>
      </c>
      <c r="M62" s="399">
        <v>0</v>
      </c>
      <c r="N62" s="399">
        <v>2.2109999999999999</v>
      </c>
      <c r="O62" s="399">
        <v>2.2109999999999999</v>
      </c>
      <c r="P62" s="399">
        <v>2.2109999999999999</v>
      </c>
      <c r="Q62" s="399">
        <v>2.2109999999999999</v>
      </c>
      <c r="R62" s="399"/>
      <c r="S62" s="399">
        <v>636.83000000000004</v>
      </c>
      <c r="T62" s="399">
        <v>119.97</v>
      </c>
      <c r="U62" s="399"/>
      <c r="V62" s="399">
        <v>1673.2848000000001</v>
      </c>
      <c r="W62" s="399">
        <v>1673.2848000000001</v>
      </c>
      <c r="X62" s="399">
        <v>1471.4868299999998</v>
      </c>
      <c r="Y62" s="399">
        <v>0</v>
      </c>
      <c r="Z62" s="399">
        <v>0</v>
      </c>
      <c r="AA62" s="399">
        <v>0</v>
      </c>
      <c r="AB62" s="399">
        <v>0</v>
      </c>
      <c r="AC62" s="399">
        <v>0</v>
      </c>
      <c r="AD62" s="399">
        <v>237.76919508343644</v>
      </c>
      <c r="AE62" s="399">
        <v>1126.2014794957258</v>
      </c>
      <c r="AF62" s="399">
        <v>265.26216593007257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0</v>
      </c>
      <c r="AM62" s="399"/>
      <c r="AN62" s="399">
        <v>4.7565215389183457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39.294806262719376</v>
      </c>
      <c r="BH62" s="399">
        <v>0</v>
      </c>
      <c r="BI62" s="399">
        <v>0</v>
      </c>
      <c r="BJ62" s="399">
        <v>0</v>
      </c>
      <c r="BK62" s="399">
        <v>561.11</v>
      </c>
      <c r="BL62" s="399">
        <v>31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304.55697219279193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1470.8212999999996</v>
      </c>
      <c r="CJ62" s="399">
        <v>-202.49350000000049</v>
      </c>
      <c r="CK62" s="399"/>
      <c r="CL62" s="399"/>
      <c r="CM62" s="399"/>
      <c r="CN62" s="399"/>
      <c r="CO62" s="399">
        <v>-201.79797000000019</v>
      </c>
      <c r="CP62" s="399">
        <v>0</v>
      </c>
      <c r="CQ62" s="399">
        <v>30</v>
      </c>
      <c r="CR62" s="399">
        <v>-1.6654249588289076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-1.2721079642261941</v>
      </c>
      <c r="DA62" s="399">
        <v>0</v>
      </c>
      <c r="DB62" s="399">
        <v>0</v>
      </c>
      <c r="DC62" s="399">
        <v>0</v>
      </c>
      <c r="DD62" s="399">
        <v>0</v>
      </c>
      <c r="DE62" s="399">
        <v>0</v>
      </c>
      <c r="DF62" s="399">
        <v>0</v>
      </c>
      <c r="DG62" s="399">
        <v>0</v>
      </c>
      <c r="DH62" s="399">
        <v>0</v>
      </c>
      <c r="DI62" s="399">
        <v>0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0</v>
      </c>
      <c r="DP62" s="399">
        <v>-0.3933169946027153</v>
      </c>
      <c r="DQ62" s="399">
        <v>0</v>
      </c>
      <c r="DR62" s="399">
        <v>0</v>
      </c>
      <c r="DS62" s="399"/>
      <c r="DT62" s="399"/>
      <c r="DU62" s="399"/>
      <c r="DV62" s="399">
        <v>1126.2014794957258</v>
      </c>
      <c r="DW62" s="399">
        <v>0</v>
      </c>
      <c r="DX62" s="399">
        <v>0</v>
      </c>
      <c r="DY62" s="399">
        <v>-201.7979700000003</v>
      </c>
      <c r="DZ62" s="399">
        <v>0</v>
      </c>
      <c r="EA62" s="399">
        <v>0</v>
      </c>
      <c r="EB62" s="399">
        <v>0</v>
      </c>
      <c r="EC62" s="399">
        <v>-200.1192094893762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229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954</v>
      </c>
      <c r="C63" s="399" t="s">
        <v>2336</v>
      </c>
      <c r="D63" s="399" t="s">
        <v>1822</v>
      </c>
      <c r="E63" s="399" t="s">
        <v>888</v>
      </c>
      <c r="F63" s="399" t="s">
        <v>1237</v>
      </c>
      <c r="G63" s="399" t="s">
        <v>1237</v>
      </c>
      <c r="H63" s="399" t="s">
        <v>1237</v>
      </c>
      <c r="I63" s="399" t="s">
        <v>1237</v>
      </c>
      <c r="J63" s="399" t="s">
        <v>2337</v>
      </c>
      <c r="K63" s="788">
        <v>44501</v>
      </c>
      <c r="L63" s="399">
        <v>0</v>
      </c>
      <c r="M63" s="399">
        <v>0</v>
      </c>
      <c r="N63" s="399">
        <v>132.26499999999999</v>
      </c>
      <c r="O63" s="399">
        <v>132.26499999999999</v>
      </c>
      <c r="P63" s="399">
        <v>132.26499999999999</v>
      </c>
      <c r="Q63" s="399">
        <v>132.26499999999999</v>
      </c>
      <c r="R63" s="399"/>
      <c r="S63" s="399">
        <v>707.13</v>
      </c>
      <c r="T63" s="399">
        <v>119.97</v>
      </c>
      <c r="U63" s="399"/>
      <c r="V63" s="399">
        <v>109396.38149999999</v>
      </c>
      <c r="W63" s="399">
        <v>109396.38149999999</v>
      </c>
      <c r="X63" s="399">
        <v>96425.152949999989</v>
      </c>
      <c r="Y63" s="399">
        <v>0</v>
      </c>
      <c r="Z63" s="399">
        <v>8054.261247400319</v>
      </c>
      <c r="AA63" s="399">
        <v>0</v>
      </c>
      <c r="AB63" s="399">
        <v>0</v>
      </c>
      <c r="AC63" s="399">
        <v>0</v>
      </c>
      <c r="AD63" s="399">
        <v>14223.673716739358</v>
      </c>
      <c r="AE63" s="399">
        <v>67370.890405021331</v>
      </c>
      <c r="AF63" s="399">
        <v>15868.34028798781</v>
      </c>
      <c r="AG63" s="399">
        <v>0</v>
      </c>
      <c r="AH63" s="399">
        <v>0</v>
      </c>
      <c r="AI63" s="399">
        <v>0</v>
      </c>
      <c r="AJ63" s="399">
        <v>0</v>
      </c>
      <c r="AK63" s="399">
        <v>0</v>
      </c>
      <c r="AL63" s="399">
        <v>1244.6435298349063</v>
      </c>
      <c r="AM63" s="399"/>
      <c r="AN63" s="399">
        <v>284.541529328374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2350.6682724281222</v>
      </c>
      <c r="BH63" s="399">
        <v>0</v>
      </c>
      <c r="BI63" s="399">
        <v>0</v>
      </c>
      <c r="BJ63" s="399">
        <v>0</v>
      </c>
      <c r="BK63" s="399">
        <v>38401.67</v>
      </c>
      <c r="BL63" s="399">
        <v>68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18219.008560415932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96428.7981</v>
      </c>
      <c r="CJ63" s="399">
        <v>-12967.613399999973</v>
      </c>
      <c r="CK63" s="399"/>
      <c r="CL63" s="399"/>
      <c r="CM63" s="399"/>
      <c r="CN63" s="399"/>
      <c r="CO63" s="399">
        <v>-12971.228550000005</v>
      </c>
      <c r="CP63" s="399">
        <v>0</v>
      </c>
      <c r="CQ63" s="399">
        <v>30</v>
      </c>
      <c r="CR63" s="399">
        <v>-999.70169507342507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-76.099212975295814</v>
      </c>
      <c r="DA63" s="399">
        <v>0</v>
      </c>
      <c r="DB63" s="399">
        <v>0</v>
      </c>
      <c r="DC63" s="399">
        <v>0</v>
      </c>
      <c r="DD63" s="399">
        <v>0</v>
      </c>
      <c r="DE63" s="399">
        <v>0</v>
      </c>
      <c r="DF63" s="399">
        <v>0</v>
      </c>
      <c r="DG63" s="399">
        <v>0</v>
      </c>
      <c r="DH63" s="399">
        <v>0</v>
      </c>
      <c r="DI63" s="399">
        <v>-794.00731804957377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-106.06641131625133</v>
      </c>
      <c r="DP63" s="399">
        <v>-23.528752732305804</v>
      </c>
      <c r="DQ63" s="399">
        <v>0</v>
      </c>
      <c r="DR63" s="399">
        <v>0</v>
      </c>
      <c r="DS63" s="399"/>
      <c r="DT63" s="399"/>
      <c r="DU63" s="399"/>
      <c r="DV63" s="399">
        <v>67370.890405021331</v>
      </c>
      <c r="DW63" s="399">
        <v>0</v>
      </c>
      <c r="DX63" s="399">
        <v>0</v>
      </c>
      <c r="DY63" s="399">
        <v>-12971.22855</v>
      </c>
      <c r="DZ63" s="399">
        <v>0</v>
      </c>
      <c r="EA63" s="399">
        <v>0</v>
      </c>
      <c r="EB63" s="399">
        <v>0</v>
      </c>
      <c r="EC63" s="399">
        <v>-11971.400833610278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229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954</v>
      </c>
      <c r="C64" s="399" t="s">
        <v>2344</v>
      </c>
      <c r="D64" s="399" t="s">
        <v>533</v>
      </c>
      <c r="E64" s="399" t="s">
        <v>888</v>
      </c>
      <c r="F64" s="399" t="s">
        <v>1237</v>
      </c>
      <c r="G64" s="399" t="s">
        <v>1237</v>
      </c>
      <c r="H64" s="399" t="s">
        <v>1237</v>
      </c>
      <c r="I64" s="399" t="s">
        <v>891</v>
      </c>
      <c r="J64" s="399" t="s">
        <v>2337</v>
      </c>
      <c r="K64" s="788">
        <v>44501</v>
      </c>
      <c r="L64" s="399">
        <v>0</v>
      </c>
      <c r="M64" s="399">
        <v>0</v>
      </c>
      <c r="N64" s="399">
        <v>90.867000000000004</v>
      </c>
      <c r="O64" s="399">
        <v>90.867000000000004</v>
      </c>
      <c r="P64" s="399">
        <v>90.867000000000004</v>
      </c>
      <c r="Q64" s="399">
        <v>90.867000000000004</v>
      </c>
      <c r="R64" s="399"/>
      <c r="S64" s="399">
        <v>3312.96</v>
      </c>
      <c r="T64" s="399">
        <v>119.97</v>
      </c>
      <c r="U64" s="399"/>
      <c r="V64" s="399">
        <v>311940.05031000002</v>
      </c>
      <c r="W64" s="399">
        <v>311940.05031000002</v>
      </c>
      <c r="X64" s="399">
        <v>270766.39527000004</v>
      </c>
      <c r="Y64" s="399">
        <v>0</v>
      </c>
      <c r="Z64" s="399">
        <v>4814.0014696839398</v>
      </c>
      <c r="AA64" s="399">
        <v>0</v>
      </c>
      <c r="AB64" s="399">
        <v>0</v>
      </c>
      <c r="AC64" s="399">
        <v>0</v>
      </c>
      <c r="AD64" s="399">
        <v>67935.713421041088</v>
      </c>
      <c r="AE64" s="399">
        <v>226548.76941021753</v>
      </c>
      <c r="AF64" s="399">
        <v>10901.66315312886</v>
      </c>
      <c r="AG64" s="399">
        <v>0</v>
      </c>
      <c r="AH64" s="399">
        <v>0</v>
      </c>
      <c r="AI64" s="399">
        <v>0</v>
      </c>
      <c r="AJ64" s="399">
        <v>0</v>
      </c>
      <c r="AK64" s="399">
        <v>0</v>
      </c>
      <c r="AL64" s="399">
        <v>855.0789976600646</v>
      </c>
      <c r="AM64" s="399"/>
      <c r="AN64" s="399">
        <v>76.39479396730637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809.06590214211064</v>
      </c>
      <c r="BH64" s="399">
        <v>0</v>
      </c>
      <c r="BI64" s="399">
        <v>0</v>
      </c>
      <c r="BJ64" s="399">
        <v>0</v>
      </c>
      <c r="BK64" s="399">
        <v>0</v>
      </c>
      <c r="BL64" s="399">
        <v>0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11710.729055270971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270775.33470000001</v>
      </c>
      <c r="CJ64" s="399">
        <v>-41164.745610000042</v>
      </c>
      <c r="CK64" s="399"/>
      <c r="CL64" s="399"/>
      <c r="CM64" s="399"/>
      <c r="CN64" s="399"/>
      <c r="CO64" s="399">
        <v>-41173.655039999991</v>
      </c>
      <c r="CP64" s="399">
        <v>0</v>
      </c>
      <c r="CQ64" s="399">
        <v>30</v>
      </c>
      <c r="CR64" s="399">
        <v>-917.22892824735027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-363.46828725239902</v>
      </c>
      <c r="DA64" s="399">
        <v>0</v>
      </c>
      <c r="DB64" s="399">
        <v>0</v>
      </c>
      <c r="DC64" s="399">
        <v>0</v>
      </c>
      <c r="DD64" s="399">
        <v>0</v>
      </c>
      <c r="DE64" s="399">
        <v>0</v>
      </c>
      <c r="DF64" s="399">
        <v>0</v>
      </c>
      <c r="DG64" s="399">
        <v>0</v>
      </c>
      <c r="DH64" s="399">
        <v>0</v>
      </c>
      <c r="DI64" s="399">
        <v>-474.57516941906579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-72.868382391969135</v>
      </c>
      <c r="DP64" s="399">
        <v>-6.3170891839053951</v>
      </c>
      <c r="DQ64" s="399">
        <v>0</v>
      </c>
      <c r="DR64" s="399">
        <v>0</v>
      </c>
      <c r="DS64" s="399"/>
      <c r="DT64" s="399"/>
      <c r="DU64" s="399"/>
      <c r="DV64" s="399">
        <v>226548.76941021753</v>
      </c>
      <c r="DW64" s="399">
        <v>0</v>
      </c>
      <c r="DX64" s="399">
        <v>0</v>
      </c>
      <c r="DY64" s="399">
        <v>-41173.655040000012</v>
      </c>
      <c r="DZ64" s="399">
        <v>0</v>
      </c>
      <c r="EA64" s="399">
        <v>0</v>
      </c>
      <c r="EB64" s="399">
        <v>0</v>
      </c>
      <c r="EC64" s="399">
        <v>-40256.349747883156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229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954</v>
      </c>
      <c r="C65" s="399" t="s">
        <v>2344</v>
      </c>
      <c r="D65" s="399" t="s">
        <v>533</v>
      </c>
      <c r="E65" s="399" t="s">
        <v>888</v>
      </c>
      <c r="F65" s="399" t="s">
        <v>1237</v>
      </c>
      <c r="G65" s="399" t="s">
        <v>1237</v>
      </c>
      <c r="H65" s="399" t="s">
        <v>1237</v>
      </c>
      <c r="I65" s="399" t="s">
        <v>2322</v>
      </c>
      <c r="J65" s="399" t="s">
        <v>2337</v>
      </c>
      <c r="K65" s="788">
        <v>44501</v>
      </c>
      <c r="L65" s="399">
        <v>0</v>
      </c>
      <c r="M65" s="399">
        <v>0</v>
      </c>
      <c r="N65" s="399">
        <v>2421.614</v>
      </c>
      <c r="O65" s="399">
        <v>2421.614</v>
      </c>
      <c r="P65" s="399">
        <v>2421.614</v>
      </c>
      <c r="Q65" s="399">
        <v>2421.614</v>
      </c>
      <c r="R65" s="399"/>
      <c r="S65" s="399">
        <v>72.13</v>
      </c>
      <c r="T65" s="399">
        <v>119.97</v>
      </c>
      <c r="U65" s="399"/>
      <c r="V65" s="399">
        <v>465192.04940000002</v>
      </c>
      <c r="W65" s="399">
        <v>465192.04940000002</v>
      </c>
      <c r="X65" s="399">
        <v>450444.42014000006</v>
      </c>
      <c r="Y65" s="399">
        <v>0</v>
      </c>
      <c r="Z65" s="399">
        <v>128293.58683578421</v>
      </c>
      <c r="AA65" s="399">
        <v>0</v>
      </c>
      <c r="AB65" s="399">
        <v>0</v>
      </c>
      <c r="AC65" s="399">
        <v>0</v>
      </c>
      <c r="AD65" s="399">
        <v>0</v>
      </c>
      <c r="AE65" s="399">
        <v>0</v>
      </c>
      <c r="AF65" s="399">
        <v>290530.33680985385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22787.934804049652</v>
      </c>
      <c r="AM65" s="399"/>
      <c r="AN65" s="399">
        <v>2035.9283634140515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21561.681529597819</v>
      </c>
      <c r="BH65" s="399">
        <v>0</v>
      </c>
      <c r="BI65" s="399">
        <v>0</v>
      </c>
      <c r="BJ65" s="399">
        <v>0</v>
      </c>
      <c r="BK65" s="399">
        <v>0</v>
      </c>
      <c r="BL65" s="399">
        <v>0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312092.01833945169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450443.67610000004</v>
      </c>
      <c r="CJ65" s="399">
        <v>-14748.403300000005</v>
      </c>
      <c r="CK65" s="399"/>
      <c r="CL65" s="399"/>
      <c r="CM65" s="399"/>
      <c r="CN65" s="399"/>
      <c r="CO65" s="399">
        <v>-14747.629259999974</v>
      </c>
      <c r="CP65" s="399">
        <v>0</v>
      </c>
      <c r="CQ65" s="399">
        <v>30</v>
      </c>
      <c r="CR65" s="399">
        <v>-14757.772578409349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0</v>
      </c>
      <c r="DA65" s="399">
        <v>0</v>
      </c>
      <c r="DB65" s="399">
        <v>0</v>
      </c>
      <c r="DC65" s="399">
        <v>0</v>
      </c>
      <c r="DD65" s="399">
        <v>0</v>
      </c>
      <c r="DE65" s="399">
        <v>0</v>
      </c>
      <c r="DF65" s="399">
        <v>0</v>
      </c>
      <c r="DG65" s="399">
        <v>0</v>
      </c>
      <c r="DH65" s="399">
        <v>0</v>
      </c>
      <c r="DI65" s="399">
        <v>-12647.472397213307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-1941.9491669995259</v>
      </c>
      <c r="DP65" s="399">
        <v>-168.3510141965055</v>
      </c>
      <c r="DQ65" s="399">
        <v>0</v>
      </c>
      <c r="DR65" s="399">
        <v>0</v>
      </c>
      <c r="DS65" s="399"/>
      <c r="DT65" s="399"/>
      <c r="DU65" s="399"/>
      <c r="DV65" s="399">
        <v>0</v>
      </c>
      <c r="DW65" s="399">
        <v>0</v>
      </c>
      <c r="DX65" s="399">
        <v>0</v>
      </c>
      <c r="DY65" s="399">
        <v>-14747.629259999958</v>
      </c>
      <c r="DZ65" s="399">
        <v>0</v>
      </c>
      <c r="EA65" s="399">
        <v>0</v>
      </c>
      <c r="EB65" s="399">
        <v>0</v>
      </c>
      <c r="EC65" s="399">
        <v>0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229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954</v>
      </c>
      <c r="C66" s="399" t="s">
        <v>2344</v>
      </c>
      <c r="D66" s="399" t="s">
        <v>533</v>
      </c>
      <c r="E66" s="399" t="s">
        <v>888</v>
      </c>
      <c r="F66" s="399" t="s">
        <v>1237</v>
      </c>
      <c r="G66" s="399" t="s">
        <v>1237</v>
      </c>
      <c r="H66" s="399" t="s">
        <v>1237</v>
      </c>
      <c r="I66" s="399" t="s">
        <v>1237</v>
      </c>
      <c r="J66" s="399" t="s">
        <v>2337</v>
      </c>
      <c r="K66" s="788">
        <v>44501</v>
      </c>
      <c r="L66" s="399">
        <v>10919</v>
      </c>
      <c r="M66" s="399">
        <v>10919</v>
      </c>
      <c r="N66" s="399">
        <v>0</v>
      </c>
      <c r="O66" s="399">
        <v>0</v>
      </c>
      <c r="P66" s="399">
        <v>0</v>
      </c>
      <c r="Q66" s="399">
        <v>0</v>
      </c>
      <c r="R66" s="399">
        <v>46.29</v>
      </c>
      <c r="S66" s="399"/>
      <c r="T66" s="399"/>
      <c r="U66" s="399">
        <v>505440.51</v>
      </c>
      <c r="V66" s="399"/>
      <c r="W66" s="399">
        <v>505440.51</v>
      </c>
      <c r="X66" s="399">
        <v>449316.85</v>
      </c>
      <c r="Y66" s="399">
        <v>0</v>
      </c>
      <c r="Z66" s="399">
        <v>0</v>
      </c>
      <c r="AA66" s="399">
        <v>0</v>
      </c>
      <c r="AB66" s="399">
        <v>0</v>
      </c>
      <c r="AC66" s="399">
        <v>0</v>
      </c>
      <c r="AD66" s="399">
        <v>195592.18210642014</v>
      </c>
      <c r="AE66" s="399">
        <v>309809.4637101246</v>
      </c>
      <c r="AF66" s="399"/>
      <c r="AG66" s="399"/>
      <c r="AH66" s="399"/>
      <c r="AI66" s="399">
        <v>0</v>
      </c>
      <c r="AJ66" s="399">
        <v>0</v>
      </c>
      <c r="AK66" s="399">
        <v>0</v>
      </c>
      <c r="AL66" s="399">
        <v>0</v>
      </c>
      <c r="AM66" s="399"/>
      <c r="AN66" s="399">
        <v>0</v>
      </c>
      <c r="AO66" s="399">
        <v>0</v>
      </c>
      <c r="AP66" s="399">
        <v>0</v>
      </c>
      <c r="AQ66" s="399">
        <v>0</v>
      </c>
      <c r="AR66" s="399">
        <v>0</v>
      </c>
      <c r="AS66" s="399"/>
      <c r="AT66" s="399"/>
      <c r="AU66" s="399">
        <v>0</v>
      </c>
      <c r="AV66" s="399">
        <v>0</v>
      </c>
      <c r="AW66" s="399">
        <v>0</v>
      </c>
      <c r="AX66" s="399"/>
      <c r="AY66" s="399"/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/>
      <c r="BG66" s="399">
        <v>0</v>
      </c>
      <c r="BH66" s="399">
        <v>0</v>
      </c>
      <c r="BI66" s="399">
        <v>0</v>
      </c>
      <c r="BJ66" s="399">
        <v>0</v>
      </c>
      <c r="BK66" s="399">
        <v>498318.34</v>
      </c>
      <c r="BL66" s="399">
        <v>26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0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449316.85</v>
      </c>
      <c r="CJ66" s="399">
        <v>-56123.690000000061</v>
      </c>
      <c r="CK66" s="399"/>
      <c r="CL66" s="399"/>
      <c r="CM66" s="399"/>
      <c r="CN66" s="399"/>
      <c r="CO66" s="399">
        <v>-56123.66</v>
      </c>
      <c r="CP66" s="399">
        <v>0</v>
      </c>
      <c r="CQ66" s="399">
        <v>30</v>
      </c>
      <c r="CR66" s="399">
        <v>-1046.4533578914416</v>
      </c>
      <c r="CS66" s="399">
        <v>0</v>
      </c>
      <c r="CT66" s="399">
        <v>0</v>
      </c>
      <c r="CU66" s="399">
        <v>0</v>
      </c>
      <c r="CV66" s="399">
        <v>0</v>
      </c>
      <c r="CW66" s="399"/>
      <c r="CX66" s="399"/>
      <c r="CY66" s="399"/>
      <c r="CZ66" s="399">
        <v>-1046.4533578914416</v>
      </c>
      <c r="DA66" s="399">
        <v>0</v>
      </c>
      <c r="DB66" s="399">
        <v>0</v>
      </c>
      <c r="DC66" s="399"/>
      <c r="DD66" s="399"/>
      <c r="DE66" s="399">
        <v>0</v>
      </c>
      <c r="DF66" s="399">
        <v>0</v>
      </c>
      <c r="DG66" s="399">
        <v>0</v>
      </c>
      <c r="DH66" s="399">
        <v>0</v>
      </c>
      <c r="DI66" s="399">
        <v>0</v>
      </c>
      <c r="DJ66" s="399"/>
      <c r="DK66" s="399">
        <v>0</v>
      </c>
      <c r="DL66" s="399">
        <v>0</v>
      </c>
      <c r="DM66" s="399"/>
      <c r="DN66" s="399">
        <v>0</v>
      </c>
      <c r="DO66" s="399">
        <v>0</v>
      </c>
      <c r="DP66" s="399">
        <v>0</v>
      </c>
      <c r="DQ66" s="399">
        <v>0</v>
      </c>
      <c r="DR66" s="399">
        <v>0</v>
      </c>
      <c r="DS66" s="399"/>
      <c r="DT66" s="399"/>
      <c r="DU66" s="399">
        <v>309809.4637101246</v>
      </c>
      <c r="DV66" s="399"/>
      <c r="DW66" s="399">
        <v>0</v>
      </c>
      <c r="DX66" s="399">
        <v>0</v>
      </c>
      <c r="DY66" s="399">
        <v>-56123.660000000033</v>
      </c>
      <c r="DZ66" s="399"/>
      <c r="EA66" s="399">
        <v>0</v>
      </c>
      <c r="EB66" s="399"/>
      <c r="EC66" s="399">
        <v>-55051.27288392387</v>
      </c>
      <c r="ED66" s="399"/>
      <c r="EE66" s="399">
        <v>0</v>
      </c>
      <c r="EF66" s="399">
        <v>0</v>
      </c>
      <c r="EG66" s="399"/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/>
      <c r="EN66" s="399"/>
      <c r="EO66" s="399">
        <v>0</v>
      </c>
      <c r="EP66" s="399">
        <v>0</v>
      </c>
      <c r="EQ66" s="399"/>
      <c r="ER66" s="399">
        <v>0</v>
      </c>
      <c r="ES66" s="399"/>
      <c r="ET66" s="399">
        <v>0</v>
      </c>
      <c r="EU66" s="399"/>
      <c r="EV66" s="399">
        <v>229</v>
      </c>
      <c r="EW66" s="399"/>
      <c r="EX66" s="399"/>
      <c r="EY66" s="399"/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954</v>
      </c>
      <c r="C67" s="399" t="s">
        <v>2345</v>
      </c>
      <c r="D67" s="399" t="s">
        <v>1822</v>
      </c>
      <c r="E67" s="399" t="s">
        <v>888</v>
      </c>
      <c r="F67" s="399" t="s">
        <v>1237</v>
      </c>
      <c r="G67" s="399" t="s">
        <v>1237</v>
      </c>
      <c r="H67" s="399" t="s">
        <v>1237</v>
      </c>
      <c r="I67" s="399" t="s">
        <v>891</v>
      </c>
      <c r="J67" s="399" t="s">
        <v>2337</v>
      </c>
      <c r="K67" s="788">
        <v>44501</v>
      </c>
      <c r="L67" s="399">
        <v>0</v>
      </c>
      <c r="M67" s="399">
        <v>0</v>
      </c>
      <c r="N67" s="399">
        <v>0.14399999999999999</v>
      </c>
      <c r="O67" s="399">
        <v>0.14399999999999999</v>
      </c>
      <c r="P67" s="399">
        <v>0.14399999999999999</v>
      </c>
      <c r="Q67" s="399">
        <v>0.14399999999999999</v>
      </c>
      <c r="R67" s="399"/>
      <c r="S67" s="399">
        <v>2187.66</v>
      </c>
      <c r="T67" s="399">
        <v>119.97</v>
      </c>
      <c r="U67" s="399"/>
      <c r="V67" s="399">
        <v>332.29872</v>
      </c>
      <c r="W67" s="399">
        <v>332.29872</v>
      </c>
      <c r="X67" s="399">
        <v>286.6968</v>
      </c>
      <c r="Y67" s="399">
        <v>0</v>
      </c>
      <c r="Z67" s="399">
        <v>8.7688626592495815</v>
      </c>
      <c r="AA67" s="399">
        <v>0</v>
      </c>
      <c r="AB67" s="399">
        <v>0</v>
      </c>
      <c r="AC67" s="399">
        <v>0</v>
      </c>
      <c r="AD67" s="399">
        <v>52.645915409836171</v>
      </c>
      <c r="AE67" s="399">
        <v>249.38407238640045</v>
      </c>
      <c r="AF67" s="399">
        <v>17.276233330588173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1.3550725308753375</v>
      </c>
      <c r="AM67" s="399"/>
      <c r="AN67" s="399">
        <v>0.3097870201737864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2.5592275449260926</v>
      </c>
      <c r="BH67" s="399">
        <v>0</v>
      </c>
      <c r="BI67" s="399">
        <v>0</v>
      </c>
      <c r="BJ67" s="399">
        <v>0</v>
      </c>
      <c r="BK67" s="399">
        <v>0</v>
      </c>
      <c r="BL67" s="399">
        <v>0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19.835460875514265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278.733</v>
      </c>
      <c r="CJ67" s="399">
        <v>-53.595719999999972</v>
      </c>
      <c r="CK67" s="399"/>
      <c r="CL67" s="399"/>
      <c r="CM67" s="399"/>
      <c r="CN67" s="399"/>
      <c r="CO67" s="399">
        <v>-45.601919999999971</v>
      </c>
      <c r="CP67" s="399">
        <v>0</v>
      </c>
      <c r="CQ67" s="399">
        <v>30</v>
      </c>
      <c r="CR67" s="399">
        <v>-1.2872127485843663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-0.2816651175245326</v>
      </c>
      <c r="DA67" s="399">
        <v>0</v>
      </c>
      <c r="DB67" s="399">
        <v>0</v>
      </c>
      <c r="DC67" s="399">
        <v>0</v>
      </c>
      <c r="DD67" s="399">
        <v>0</v>
      </c>
      <c r="DE67" s="399">
        <v>0</v>
      </c>
      <c r="DF67" s="399">
        <v>0</v>
      </c>
      <c r="DG67" s="399">
        <v>0</v>
      </c>
      <c r="DH67" s="399">
        <v>0</v>
      </c>
      <c r="DI67" s="399">
        <v>-0.86445434392423159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-0.11547698355226399</v>
      </c>
      <c r="DP67" s="399">
        <v>-2.5616303583351874E-2</v>
      </c>
      <c r="DQ67" s="399">
        <v>0</v>
      </c>
      <c r="DR67" s="399">
        <v>0</v>
      </c>
      <c r="DS67" s="399"/>
      <c r="DT67" s="399"/>
      <c r="DU67" s="399"/>
      <c r="DV67" s="399">
        <v>249.38407238640045</v>
      </c>
      <c r="DW67" s="399">
        <v>0</v>
      </c>
      <c r="DX67" s="399">
        <v>0</v>
      </c>
      <c r="DY67" s="399">
        <v>-45.601920000000007</v>
      </c>
      <c r="DZ67" s="399">
        <v>0</v>
      </c>
      <c r="EA67" s="399">
        <v>0</v>
      </c>
      <c r="EB67" s="399">
        <v>0</v>
      </c>
      <c r="EC67" s="399">
        <v>-44.314045340762874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229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954</v>
      </c>
      <c r="C68" s="399" t="s">
        <v>2345</v>
      </c>
      <c r="D68" s="399" t="s">
        <v>1822</v>
      </c>
      <c r="E68" s="399" t="s">
        <v>888</v>
      </c>
      <c r="F68" s="399" t="s">
        <v>1237</v>
      </c>
      <c r="G68" s="399" t="s">
        <v>1237</v>
      </c>
      <c r="H68" s="399" t="s">
        <v>1237</v>
      </c>
      <c r="I68" s="399" t="s">
        <v>2322</v>
      </c>
      <c r="J68" s="399" t="s">
        <v>2337</v>
      </c>
      <c r="K68" s="788">
        <v>44501</v>
      </c>
      <c r="L68" s="399">
        <v>0</v>
      </c>
      <c r="M68" s="399">
        <v>0</v>
      </c>
      <c r="N68" s="399">
        <v>34.052</v>
      </c>
      <c r="O68" s="399">
        <v>34.052</v>
      </c>
      <c r="P68" s="399">
        <v>34.052</v>
      </c>
      <c r="Q68" s="399">
        <v>34.052</v>
      </c>
      <c r="R68" s="399"/>
      <c r="S68" s="399">
        <v>509.72</v>
      </c>
      <c r="T68" s="399">
        <v>119.97</v>
      </c>
      <c r="U68" s="399"/>
      <c r="V68" s="399">
        <v>21442.203880000001</v>
      </c>
      <c r="W68" s="399">
        <v>21442.203880000001</v>
      </c>
      <c r="X68" s="399">
        <v>19094.999520000001</v>
      </c>
      <c r="Y68" s="399">
        <v>0</v>
      </c>
      <c r="Z68" s="399">
        <v>2073.5924393942137</v>
      </c>
      <c r="AA68" s="399">
        <v>0</v>
      </c>
      <c r="AB68" s="399">
        <v>0</v>
      </c>
      <c r="AC68" s="399">
        <v>0</v>
      </c>
      <c r="AD68" s="399">
        <v>2489.8593215774154</v>
      </c>
      <c r="AE68" s="399">
        <v>11794.490833042093</v>
      </c>
      <c r="AF68" s="399">
        <v>4085.3492873138093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320.43701264838188</v>
      </c>
      <c r="AM68" s="399"/>
      <c r="AN68" s="399">
        <v>73.256025076095668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605.18622472099514</v>
      </c>
      <c r="BH68" s="399">
        <v>0</v>
      </c>
      <c r="BI68" s="399">
        <v>0</v>
      </c>
      <c r="BJ68" s="399">
        <v>0</v>
      </c>
      <c r="BK68" s="399">
        <v>0</v>
      </c>
      <c r="BL68" s="399">
        <v>0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4690.5355120348049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19093.878000000001</v>
      </c>
      <c r="CJ68" s="399">
        <v>-2348.3558799999955</v>
      </c>
      <c r="CK68" s="399"/>
      <c r="CL68" s="399"/>
      <c r="CM68" s="399"/>
      <c r="CN68" s="399"/>
      <c r="CO68" s="399">
        <v>-2347.2043600000002</v>
      </c>
      <c r="CP68" s="399">
        <v>0</v>
      </c>
      <c r="CQ68" s="399">
        <v>30</v>
      </c>
      <c r="CR68" s="399">
        <v>-251.10527811971588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-13.321195252698544</v>
      </c>
      <c r="DA68" s="399">
        <v>0</v>
      </c>
      <c r="DB68" s="399">
        <v>0</v>
      </c>
      <c r="DC68" s="399">
        <v>0</v>
      </c>
      <c r="DD68" s="399">
        <v>0</v>
      </c>
      <c r="DE68" s="399">
        <v>0</v>
      </c>
      <c r="DF68" s="399">
        <v>0</v>
      </c>
      <c r="DG68" s="399">
        <v>0</v>
      </c>
      <c r="DH68" s="399">
        <v>0</v>
      </c>
      <c r="DI68" s="399">
        <v>-204.41943971741625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-27.307098916122811</v>
      </c>
      <c r="DP68" s="399">
        <v>-6.057544233474303</v>
      </c>
      <c r="DQ68" s="399">
        <v>0</v>
      </c>
      <c r="DR68" s="399">
        <v>0</v>
      </c>
      <c r="DS68" s="399"/>
      <c r="DT68" s="399"/>
      <c r="DU68" s="399"/>
      <c r="DV68" s="399">
        <v>11794.490833042093</v>
      </c>
      <c r="DW68" s="399">
        <v>0</v>
      </c>
      <c r="DX68" s="399">
        <v>0</v>
      </c>
      <c r="DY68" s="399">
        <v>-2347.2043599999997</v>
      </c>
      <c r="DZ68" s="399">
        <v>0</v>
      </c>
      <c r="EA68" s="399">
        <v>0</v>
      </c>
      <c r="EB68" s="399">
        <v>0</v>
      </c>
      <c r="EC68" s="399">
        <v>-2095.8098748857446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229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954</v>
      </c>
      <c r="C69" s="399" t="s">
        <v>2345</v>
      </c>
      <c r="D69" s="399" t="s">
        <v>1822</v>
      </c>
      <c r="E69" s="399" t="s">
        <v>888</v>
      </c>
      <c r="F69" s="399" t="s">
        <v>1237</v>
      </c>
      <c r="G69" s="399" t="s">
        <v>1237</v>
      </c>
      <c r="H69" s="399" t="s">
        <v>1237</v>
      </c>
      <c r="I69" s="399" t="s">
        <v>1237</v>
      </c>
      <c r="J69" s="399" t="s">
        <v>2337</v>
      </c>
      <c r="K69" s="788">
        <v>44501</v>
      </c>
      <c r="L69" s="399">
        <v>0</v>
      </c>
      <c r="M69" s="399">
        <v>0</v>
      </c>
      <c r="N69" s="399">
        <v>0</v>
      </c>
      <c r="O69" s="399">
        <v>0</v>
      </c>
      <c r="P69" s="399">
        <v>0</v>
      </c>
      <c r="Q69" s="399">
        <v>0</v>
      </c>
      <c r="R69" s="399"/>
      <c r="S69" s="399"/>
      <c r="T69" s="399"/>
      <c r="U69" s="399"/>
      <c r="V69" s="399"/>
      <c r="W69" s="399"/>
      <c r="X69" s="399"/>
      <c r="Y69" s="399"/>
      <c r="Z69" s="399"/>
      <c r="AA69" s="399">
        <v>0</v>
      </c>
      <c r="AB69" s="399"/>
      <c r="AC69" s="399"/>
      <c r="AD69" s="399"/>
      <c r="AE69" s="399"/>
      <c r="AF69" s="399"/>
      <c r="AG69" s="399"/>
      <c r="AH69" s="399"/>
      <c r="AI69" s="399"/>
      <c r="AJ69" s="399"/>
      <c r="AK69" s="399"/>
      <c r="AL69" s="399"/>
      <c r="AM69" s="399"/>
      <c r="AN69" s="399"/>
      <c r="AO69" s="399"/>
      <c r="AP69" s="399"/>
      <c r="AQ69" s="399"/>
      <c r="AR69" s="399"/>
      <c r="AS69" s="399"/>
      <c r="AT69" s="399"/>
      <c r="AU69" s="399"/>
      <c r="AV69" s="399"/>
      <c r="AW69" s="399"/>
      <c r="AX69" s="399"/>
      <c r="AY69" s="399"/>
      <c r="AZ69" s="399">
        <v>0</v>
      </c>
      <c r="BA69" s="399"/>
      <c r="BB69" s="399"/>
      <c r="BC69" s="399"/>
      <c r="BD69" s="399"/>
      <c r="BE69" s="399"/>
      <c r="BF69" s="399"/>
      <c r="BG69" s="399"/>
      <c r="BH69" s="399"/>
      <c r="BI69" s="399">
        <v>0</v>
      </c>
      <c r="BJ69" s="399">
        <v>0</v>
      </c>
      <c r="BK69" s="399">
        <v>8147.12</v>
      </c>
      <c r="BL69" s="399">
        <v>7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/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/>
      <c r="CJ69" s="399">
        <v>-0.03</v>
      </c>
      <c r="CK69" s="399"/>
      <c r="CL69" s="399"/>
      <c r="CM69" s="399"/>
      <c r="CN69" s="399"/>
      <c r="CO69" s="399">
        <v>0</v>
      </c>
      <c r="CP69" s="399">
        <v>0</v>
      </c>
      <c r="CQ69" s="399">
        <v>30</v>
      </c>
      <c r="CR69" s="399"/>
      <c r="CS69" s="399"/>
      <c r="CT69" s="399"/>
      <c r="CU69" s="399"/>
      <c r="CV69" s="399"/>
      <c r="CW69" s="399"/>
      <c r="CX69" s="399"/>
      <c r="CY69" s="399"/>
      <c r="CZ69" s="399"/>
      <c r="DA69" s="399"/>
      <c r="DB69" s="399"/>
      <c r="DC69" s="399"/>
      <c r="DD69" s="399"/>
      <c r="DE69" s="399"/>
      <c r="DF69" s="399"/>
      <c r="DG69" s="399"/>
      <c r="DH69" s="399"/>
      <c r="DI69" s="399"/>
      <c r="DJ69" s="399"/>
      <c r="DK69" s="399">
        <v>0</v>
      </c>
      <c r="DL69" s="399"/>
      <c r="DM69" s="399"/>
      <c r="DN69" s="399"/>
      <c r="DO69" s="399"/>
      <c r="DP69" s="399"/>
      <c r="DQ69" s="399"/>
      <c r="DR69" s="399"/>
      <c r="DS69" s="399"/>
      <c r="DT69" s="399"/>
      <c r="DU69" s="399"/>
      <c r="DV69" s="399"/>
      <c r="DW69" s="399"/>
      <c r="DX69" s="399"/>
      <c r="DY69" s="399"/>
      <c r="DZ69" s="399"/>
      <c r="EA69" s="399"/>
      <c r="EB69" s="399"/>
      <c r="EC69" s="399"/>
      <c r="ED69" s="399"/>
      <c r="EE69" s="399"/>
      <c r="EF69" s="399"/>
      <c r="EG69" s="399"/>
      <c r="EH69" s="399"/>
      <c r="EI69" s="399"/>
      <c r="EJ69" s="399"/>
      <c r="EK69" s="399"/>
      <c r="EL69" s="399"/>
      <c r="EM69" s="399"/>
      <c r="EN69" s="399"/>
      <c r="EO69" s="399"/>
      <c r="EP69" s="399"/>
      <c r="EQ69" s="399"/>
      <c r="ER69" s="399"/>
      <c r="ES69" s="399"/>
      <c r="ET69" s="399"/>
      <c r="EU69" s="399"/>
      <c r="EV69" s="399">
        <v>229</v>
      </c>
      <c r="EW69" s="399"/>
      <c r="EX69" s="399"/>
      <c r="EY69" s="399"/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954</v>
      </c>
      <c r="C70" s="399" t="s">
        <v>2345</v>
      </c>
      <c r="D70" s="399" t="s">
        <v>1822</v>
      </c>
      <c r="E70" s="399" t="s">
        <v>888</v>
      </c>
      <c r="F70" s="399" t="s">
        <v>1237</v>
      </c>
      <c r="G70" s="399" t="s">
        <v>1237</v>
      </c>
      <c r="H70" s="399" t="s">
        <v>1237</v>
      </c>
      <c r="I70" s="399" t="s">
        <v>2346</v>
      </c>
      <c r="J70" s="399" t="s">
        <v>2337</v>
      </c>
      <c r="K70" s="788">
        <v>44501</v>
      </c>
      <c r="L70" s="399">
        <v>0</v>
      </c>
      <c r="M70" s="399">
        <v>0</v>
      </c>
      <c r="N70" s="399">
        <v>0.14399999999999999</v>
      </c>
      <c r="O70" s="399">
        <v>0.14399999999999999</v>
      </c>
      <c r="P70" s="399">
        <v>0.14399999999999999</v>
      </c>
      <c r="Q70" s="399">
        <v>0.14399999999999999</v>
      </c>
      <c r="R70" s="399"/>
      <c r="S70" s="399">
        <v>1348.63</v>
      </c>
      <c r="T70" s="399">
        <v>119.97</v>
      </c>
      <c r="U70" s="399"/>
      <c r="V70" s="399">
        <v>211.47839999999999</v>
      </c>
      <c r="W70" s="399">
        <v>211.47839999999999</v>
      </c>
      <c r="X70" s="399">
        <v>183.71519999999998</v>
      </c>
      <c r="Y70" s="399">
        <v>0</v>
      </c>
      <c r="Z70" s="399">
        <v>8.7688626592495815</v>
      </c>
      <c r="AA70" s="399">
        <v>0</v>
      </c>
      <c r="AB70" s="399">
        <v>0</v>
      </c>
      <c r="AC70" s="399">
        <v>0</v>
      </c>
      <c r="AD70" s="399">
        <v>31.57874558111736</v>
      </c>
      <c r="AE70" s="399">
        <v>149.63042979213549</v>
      </c>
      <c r="AF70" s="399">
        <v>17.276233330588173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1.3550725308753375</v>
      </c>
      <c r="AM70" s="399"/>
      <c r="AN70" s="399">
        <v>0.3097870201737864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2.5592275449260926</v>
      </c>
      <c r="BH70" s="399">
        <v>0</v>
      </c>
      <c r="BI70" s="399">
        <v>0</v>
      </c>
      <c r="BJ70" s="399">
        <v>0</v>
      </c>
      <c r="BK70" s="399">
        <v>0</v>
      </c>
      <c r="BL70" s="399">
        <v>0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19.835460875514265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178.61200000000002</v>
      </c>
      <c r="CJ70" s="399">
        <v>-32.896399999999943</v>
      </c>
      <c r="CK70" s="399"/>
      <c r="CL70" s="399"/>
      <c r="CM70" s="399"/>
      <c r="CN70" s="399"/>
      <c r="CO70" s="399">
        <v>-27.763200000000023</v>
      </c>
      <c r="CP70" s="399">
        <v>0</v>
      </c>
      <c r="CQ70" s="399">
        <v>30</v>
      </c>
      <c r="CR70" s="399">
        <v>-1.17449960038428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-0.16895196932443213</v>
      </c>
      <c r="DA70" s="399">
        <v>0</v>
      </c>
      <c r="DB70" s="399">
        <v>0</v>
      </c>
      <c r="DC70" s="399">
        <v>0</v>
      </c>
      <c r="DD70" s="399">
        <v>0</v>
      </c>
      <c r="DE70" s="399">
        <v>0</v>
      </c>
      <c r="DF70" s="399">
        <v>0</v>
      </c>
      <c r="DG70" s="399">
        <v>0</v>
      </c>
      <c r="DH70" s="399">
        <v>0</v>
      </c>
      <c r="DI70" s="399">
        <v>-0.86445434392423159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-0.11547698355226399</v>
      </c>
      <c r="DP70" s="399">
        <v>-2.5616303583351874E-2</v>
      </c>
      <c r="DQ70" s="399">
        <v>0</v>
      </c>
      <c r="DR70" s="399">
        <v>0</v>
      </c>
      <c r="DS70" s="399"/>
      <c r="DT70" s="399"/>
      <c r="DU70" s="399"/>
      <c r="DV70" s="399">
        <v>149.63042979213549</v>
      </c>
      <c r="DW70" s="399">
        <v>0</v>
      </c>
      <c r="DX70" s="399">
        <v>0</v>
      </c>
      <c r="DY70" s="399">
        <v>-27.763200000000012</v>
      </c>
      <c r="DZ70" s="399">
        <v>0</v>
      </c>
      <c r="EA70" s="399">
        <v>0</v>
      </c>
      <c r="EB70" s="399">
        <v>0</v>
      </c>
      <c r="EC70" s="399">
        <v>-26.588424780764768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229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954</v>
      </c>
      <c r="C71" s="399" t="s">
        <v>2336</v>
      </c>
      <c r="D71" s="399" t="s">
        <v>1822</v>
      </c>
      <c r="E71" s="399" t="s">
        <v>916</v>
      </c>
      <c r="F71" s="399" t="s">
        <v>1237</v>
      </c>
      <c r="G71" s="399" t="s">
        <v>1237</v>
      </c>
      <c r="H71" s="399" t="s">
        <v>1237</v>
      </c>
      <c r="I71" s="399" t="s">
        <v>1237</v>
      </c>
      <c r="J71" s="399" t="s">
        <v>2337</v>
      </c>
      <c r="K71" s="788">
        <v>44501</v>
      </c>
      <c r="L71" s="399">
        <v>0</v>
      </c>
      <c r="M71" s="399">
        <v>0</v>
      </c>
      <c r="N71" s="399">
        <v>99.683000000000007</v>
      </c>
      <c r="O71" s="399">
        <v>99.683000000000007</v>
      </c>
      <c r="P71" s="399">
        <v>99.683000000000007</v>
      </c>
      <c r="Q71" s="399">
        <v>99.683000000000007</v>
      </c>
      <c r="R71" s="399"/>
      <c r="S71" s="399">
        <v>707.13</v>
      </c>
      <c r="T71" s="399">
        <v>119.97</v>
      </c>
      <c r="U71" s="399"/>
      <c r="V71" s="399">
        <v>82447.809299999994</v>
      </c>
      <c r="W71" s="399">
        <v>82447.809299999994</v>
      </c>
      <c r="X71" s="399">
        <v>72671.897490000003</v>
      </c>
      <c r="Y71" s="399">
        <v>0</v>
      </c>
      <c r="Z71" s="399">
        <v>6070.1842809859454</v>
      </c>
      <c r="AA71" s="399">
        <v>0</v>
      </c>
      <c r="AB71" s="399">
        <v>0</v>
      </c>
      <c r="AC71" s="399">
        <v>0</v>
      </c>
      <c r="AD71" s="399">
        <v>10719.831150385437</v>
      </c>
      <c r="AE71" s="399">
        <v>50774.826811656472</v>
      </c>
      <c r="AF71" s="399">
        <v>11959.352549257092</v>
      </c>
      <c r="AG71" s="399">
        <v>0</v>
      </c>
      <c r="AH71" s="399">
        <v>0</v>
      </c>
      <c r="AI71" s="399">
        <v>0</v>
      </c>
      <c r="AJ71" s="399">
        <v>0</v>
      </c>
      <c r="AK71" s="399">
        <v>0</v>
      </c>
      <c r="AL71" s="399">
        <v>938.03954927254358</v>
      </c>
      <c r="AM71" s="399"/>
      <c r="AN71" s="399">
        <v>214.44791341655247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1771.6074955615813</v>
      </c>
      <c r="BH71" s="399">
        <v>0</v>
      </c>
      <c r="BI71" s="399">
        <v>0</v>
      </c>
      <c r="BJ71" s="399">
        <v>0</v>
      </c>
      <c r="BK71" s="399">
        <v>27651.56</v>
      </c>
      <c r="BL71" s="399">
        <v>278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13730.960044818672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72669.710399999996</v>
      </c>
      <c r="CJ71" s="399">
        <v>-9778.1288999999815</v>
      </c>
      <c r="CK71" s="399"/>
      <c r="CL71" s="399"/>
      <c r="CM71" s="399"/>
      <c r="CN71" s="399"/>
      <c r="CO71" s="399">
        <v>-9775.9118100000051</v>
      </c>
      <c r="CP71" s="399">
        <v>0</v>
      </c>
      <c r="CQ71" s="399">
        <v>30</v>
      </c>
      <c r="CR71" s="399">
        <v>-753.43638959667805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-57.353024965155782</v>
      </c>
      <c r="DA71" s="399">
        <v>0</v>
      </c>
      <c r="DB71" s="399">
        <v>0</v>
      </c>
      <c r="DC71" s="399">
        <v>0</v>
      </c>
      <c r="DD71" s="399">
        <v>0</v>
      </c>
      <c r="DE71" s="399">
        <v>0</v>
      </c>
      <c r="DF71" s="399">
        <v>0</v>
      </c>
      <c r="DG71" s="399">
        <v>0</v>
      </c>
      <c r="DH71" s="399">
        <v>0</v>
      </c>
      <c r="DI71" s="399">
        <v>-598.41251642638326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-79.938139940557676</v>
      </c>
      <c r="DP71" s="399">
        <v>-17.732708264578235</v>
      </c>
      <c r="DQ71" s="399">
        <v>0</v>
      </c>
      <c r="DR71" s="399">
        <v>0</v>
      </c>
      <c r="DS71" s="399"/>
      <c r="DT71" s="399"/>
      <c r="DU71" s="399"/>
      <c r="DV71" s="399">
        <v>50774.826811656472</v>
      </c>
      <c r="DW71" s="399">
        <v>0</v>
      </c>
      <c r="DX71" s="399">
        <v>0</v>
      </c>
      <c r="DY71" s="399">
        <v>-9775.9118099999978</v>
      </c>
      <c r="DZ71" s="399">
        <v>0</v>
      </c>
      <c r="EA71" s="399">
        <v>0</v>
      </c>
      <c r="EB71" s="399">
        <v>0</v>
      </c>
      <c r="EC71" s="399">
        <v>-9022.380443025555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229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954</v>
      </c>
      <c r="C72" s="399" t="s">
        <v>2336</v>
      </c>
      <c r="D72" s="399" t="s">
        <v>2347</v>
      </c>
      <c r="E72" s="399" t="s">
        <v>892</v>
      </c>
      <c r="F72" s="399" t="s">
        <v>1237</v>
      </c>
      <c r="G72" s="399" t="s">
        <v>1237</v>
      </c>
      <c r="H72" s="399" t="s">
        <v>1237</v>
      </c>
      <c r="I72" s="399" t="s">
        <v>1237</v>
      </c>
      <c r="J72" s="399" t="s">
        <v>2337</v>
      </c>
      <c r="K72" s="788">
        <v>44501</v>
      </c>
      <c r="L72" s="399">
        <v>0</v>
      </c>
      <c r="M72" s="399">
        <v>0</v>
      </c>
      <c r="N72" s="399">
        <v>265.36500000000001</v>
      </c>
      <c r="O72" s="399">
        <v>265.36500000000001</v>
      </c>
      <c r="P72" s="399">
        <v>265.36500000000001</v>
      </c>
      <c r="Q72" s="399">
        <v>265.36500000000001</v>
      </c>
      <c r="R72" s="399"/>
      <c r="S72" s="399">
        <v>707.13</v>
      </c>
      <c r="T72" s="399">
        <v>119.97</v>
      </c>
      <c r="U72" s="399"/>
      <c r="V72" s="399">
        <v>219483.39150000003</v>
      </c>
      <c r="W72" s="399">
        <v>219483.39150000003</v>
      </c>
      <c r="X72" s="399">
        <v>193459.04595</v>
      </c>
      <c r="Y72" s="399">
        <v>0</v>
      </c>
      <c r="Z72" s="399">
        <v>16159.369719248372</v>
      </c>
      <c r="AA72" s="399">
        <v>0</v>
      </c>
      <c r="AB72" s="399">
        <v>0</v>
      </c>
      <c r="AC72" s="399">
        <v>0</v>
      </c>
      <c r="AD72" s="399">
        <v>28537.142674498471</v>
      </c>
      <c r="AE72" s="399">
        <v>135167.09887217698</v>
      </c>
      <c r="AF72" s="399">
        <v>31836.858734524525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2497.1445983037079</v>
      </c>
      <c r="AM72" s="399"/>
      <c r="AN72" s="399">
        <v>570.87939311400578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4716.1765101341152</v>
      </c>
      <c r="BH72" s="399">
        <v>0</v>
      </c>
      <c r="BI72" s="399">
        <v>0</v>
      </c>
      <c r="BJ72" s="399">
        <v>0</v>
      </c>
      <c r="BK72" s="399">
        <v>43842.62</v>
      </c>
      <c r="BL72" s="399">
        <v>712</v>
      </c>
      <c r="BM72" s="399"/>
      <c r="BN72" s="399"/>
      <c r="BO72" s="399"/>
      <c r="BP72" s="399"/>
      <c r="BQ72" s="399"/>
      <c r="BR72" s="399">
        <v>23214.130199999981</v>
      </c>
      <c r="BS72" s="399"/>
      <c r="BT72" s="399"/>
      <c r="BU72" s="399"/>
      <c r="BV72" s="399">
        <v>36553.03524465864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170248.12350000002</v>
      </c>
      <c r="CJ72" s="399">
        <v>-22900.475400000025</v>
      </c>
      <c r="CK72" s="399"/>
      <c r="CL72" s="399"/>
      <c r="CM72" s="399"/>
      <c r="CN72" s="399"/>
      <c r="CO72" s="399">
        <v>-26024.345550000013</v>
      </c>
      <c r="CP72" s="399">
        <v>0</v>
      </c>
      <c r="CQ72" s="399">
        <v>30</v>
      </c>
      <c r="CR72" s="399">
        <v>-2005.7145905051439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-152.6788466426442</v>
      </c>
      <c r="DA72" s="399">
        <v>0</v>
      </c>
      <c r="DB72" s="399">
        <v>0</v>
      </c>
      <c r="DC72" s="399">
        <v>0</v>
      </c>
      <c r="DD72" s="399">
        <v>0</v>
      </c>
      <c r="DE72" s="399">
        <v>0</v>
      </c>
      <c r="DF72" s="399">
        <v>0</v>
      </c>
      <c r="DG72" s="399">
        <v>0</v>
      </c>
      <c r="DH72" s="399">
        <v>0</v>
      </c>
      <c r="DI72" s="399">
        <v>-1593.0272706628748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-212.80242875240583</v>
      </c>
      <c r="DP72" s="399">
        <v>-47.206044447195609</v>
      </c>
      <c r="DQ72" s="399">
        <v>0</v>
      </c>
      <c r="DR72" s="399">
        <v>0</v>
      </c>
      <c r="DS72" s="399"/>
      <c r="DT72" s="399"/>
      <c r="DU72" s="399"/>
      <c r="DV72" s="399">
        <v>135167.09887217698</v>
      </c>
      <c r="DW72" s="399">
        <v>0</v>
      </c>
      <c r="DX72" s="399">
        <v>0</v>
      </c>
      <c r="DY72" s="399">
        <v>-26024.345550000027</v>
      </c>
      <c r="DZ72" s="399">
        <v>0</v>
      </c>
      <c r="EA72" s="399">
        <v>0</v>
      </c>
      <c r="EB72" s="399">
        <v>0</v>
      </c>
      <c r="EC72" s="399">
        <v>-24018.378121279195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229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954</v>
      </c>
      <c r="C73" s="399" t="s">
        <v>2336</v>
      </c>
      <c r="D73" s="399" t="s">
        <v>1822</v>
      </c>
      <c r="E73" s="399" t="s">
        <v>2348</v>
      </c>
      <c r="F73" s="399" t="s">
        <v>1237</v>
      </c>
      <c r="G73" s="399" t="s">
        <v>1237</v>
      </c>
      <c r="H73" s="399" t="s">
        <v>1237</v>
      </c>
      <c r="I73" s="399" t="s">
        <v>1237</v>
      </c>
      <c r="J73" s="399" t="s">
        <v>2337</v>
      </c>
      <c r="K73" s="788">
        <v>44501</v>
      </c>
      <c r="L73" s="399">
        <v>0</v>
      </c>
      <c r="M73" s="399">
        <v>0</v>
      </c>
      <c r="N73" s="399">
        <v>27.227</v>
      </c>
      <c r="O73" s="399">
        <v>27.227</v>
      </c>
      <c r="P73" s="399">
        <v>27.227</v>
      </c>
      <c r="Q73" s="399">
        <v>27.227</v>
      </c>
      <c r="R73" s="399"/>
      <c r="S73" s="399">
        <v>707.13</v>
      </c>
      <c r="T73" s="399">
        <v>119.97</v>
      </c>
      <c r="U73" s="399"/>
      <c r="V73" s="399">
        <v>22519.451700000001</v>
      </c>
      <c r="W73" s="399">
        <v>22519.451700000001</v>
      </c>
      <c r="X73" s="399">
        <v>19849.29981</v>
      </c>
      <c r="Y73" s="399">
        <v>0</v>
      </c>
      <c r="Z73" s="399">
        <v>1657.9848862735305</v>
      </c>
      <c r="AA73" s="399">
        <v>0</v>
      </c>
      <c r="AB73" s="399">
        <v>0</v>
      </c>
      <c r="AC73" s="399">
        <v>0</v>
      </c>
      <c r="AD73" s="399">
        <v>2927.970092508695</v>
      </c>
      <c r="AE73" s="399">
        <v>13868.425003270073</v>
      </c>
      <c r="AF73" s="399">
        <v>3266.527811749474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256.21222082043624</v>
      </c>
      <c r="AM73" s="399"/>
      <c r="AN73" s="399">
        <v>58.57341109910891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483.88950253960229</v>
      </c>
      <c r="BH73" s="399">
        <v>0</v>
      </c>
      <c r="BI73" s="399">
        <v>0</v>
      </c>
      <c r="BJ73" s="399">
        <v>0</v>
      </c>
      <c r="BK73" s="399">
        <v>7425.54</v>
      </c>
      <c r="BL73" s="399">
        <v>81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3750.4173142890763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19851.4869</v>
      </c>
      <c r="CJ73" s="399">
        <v>-2667.9947999999968</v>
      </c>
      <c r="CK73" s="399"/>
      <c r="CL73" s="399"/>
      <c r="CM73" s="399"/>
      <c r="CN73" s="399"/>
      <c r="CO73" s="399">
        <v>-2670.1518900000015</v>
      </c>
      <c r="CP73" s="399">
        <v>0</v>
      </c>
      <c r="CQ73" s="399">
        <v>30</v>
      </c>
      <c r="CR73" s="399">
        <v>-205.79048162222716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-15.665166685656459</v>
      </c>
      <c r="DA73" s="399">
        <v>0</v>
      </c>
      <c r="DB73" s="399">
        <v>0</v>
      </c>
      <c r="DC73" s="399">
        <v>0</v>
      </c>
      <c r="DD73" s="399">
        <v>0</v>
      </c>
      <c r="DE73" s="399">
        <v>0</v>
      </c>
      <c r="DF73" s="399">
        <v>0</v>
      </c>
      <c r="DG73" s="399">
        <v>0</v>
      </c>
      <c r="DH73" s="399">
        <v>0</v>
      </c>
      <c r="DI73" s="399">
        <v>-163.44790570850751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-21.833971049843683</v>
      </c>
      <c r="DP73" s="399">
        <v>-4.8434381782216747</v>
      </c>
      <c r="DQ73" s="399">
        <v>0</v>
      </c>
      <c r="DR73" s="399">
        <v>0</v>
      </c>
      <c r="DS73" s="399"/>
      <c r="DT73" s="399"/>
      <c r="DU73" s="399"/>
      <c r="DV73" s="399">
        <v>13868.425003270073</v>
      </c>
      <c r="DW73" s="399">
        <v>0</v>
      </c>
      <c r="DX73" s="399">
        <v>0</v>
      </c>
      <c r="DY73" s="399">
        <v>-2670.151890000001</v>
      </c>
      <c r="DZ73" s="399">
        <v>0</v>
      </c>
      <c r="EA73" s="399">
        <v>0</v>
      </c>
      <c r="EB73" s="399">
        <v>0</v>
      </c>
      <c r="EC73" s="399">
        <v>-2464.3354666518535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229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954</v>
      </c>
      <c r="C74" s="399" t="s">
        <v>2336</v>
      </c>
      <c r="D74" s="399" t="s">
        <v>2349</v>
      </c>
      <c r="E74" s="399" t="s">
        <v>2350</v>
      </c>
      <c r="F74" s="399" t="s">
        <v>2351</v>
      </c>
      <c r="G74" s="399" t="s">
        <v>1237</v>
      </c>
      <c r="H74" s="399" t="s">
        <v>1237</v>
      </c>
      <c r="I74" s="399" t="s">
        <v>1237</v>
      </c>
      <c r="J74" s="399" t="s">
        <v>2337</v>
      </c>
      <c r="K74" s="788">
        <v>44501</v>
      </c>
      <c r="L74" s="399">
        <v>0</v>
      </c>
      <c r="M74" s="399">
        <v>0</v>
      </c>
      <c r="N74" s="399">
        <v>83.29</v>
      </c>
      <c r="O74" s="399">
        <v>83.29</v>
      </c>
      <c r="P74" s="399">
        <v>83.29</v>
      </c>
      <c r="Q74" s="399">
        <v>83.29</v>
      </c>
      <c r="R74" s="399"/>
      <c r="S74" s="399">
        <v>388.92</v>
      </c>
      <c r="T74" s="399">
        <v>65.989999999999995</v>
      </c>
      <c r="U74" s="399"/>
      <c r="V74" s="399">
        <v>37889.4539</v>
      </c>
      <c r="W74" s="399">
        <v>37889.4539</v>
      </c>
      <c r="X74" s="399">
        <v>33396.791300000004</v>
      </c>
      <c r="Y74" s="399">
        <v>0</v>
      </c>
      <c r="Z74" s="399">
        <v>2789.5639860339879</v>
      </c>
      <c r="AA74" s="399">
        <v>0</v>
      </c>
      <c r="AB74" s="399">
        <v>0</v>
      </c>
      <c r="AC74" s="399">
        <v>0</v>
      </c>
      <c r="AD74" s="399">
        <v>4926.3174772386583</v>
      </c>
      <c r="AE74" s="399">
        <v>23333.661996815681</v>
      </c>
      <c r="AF74" s="399">
        <v>5495.9417413720721</v>
      </c>
      <c r="AG74" s="399">
        <v>0</v>
      </c>
      <c r="AH74" s="399">
        <v>0</v>
      </c>
      <c r="AI74" s="399">
        <v>0</v>
      </c>
      <c r="AJ74" s="399">
        <v>0</v>
      </c>
      <c r="AK74" s="399">
        <v>0</v>
      </c>
      <c r="AL74" s="399">
        <v>431.0777437717623</v>
      </c>
      <c r="AM74" s="399"/>
      <c r="AN74" s="399">
        <v>98.549920143410418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814.14537652285935</v>
      </c>
      <c r="BH74" s="399">
        <v>0</v>
      </c>
      <c r="BI74" s="399">
        <v>0</v>
      </c>
      <c r="BJ74" s="399">
        <v>0</v>
      </c>
      <c r="BK74" s="399">
        <v>15074.63</v>
      </c>
      <c r="BL74" s="399">
        <v>2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6310.087117894931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33396.791300000004</v>
      </c>
      <c r="CJ74" s="399">
        <v>-4492.6925999999949</v>
      </c>
      <c r="CK74" s="399"/>
      <c r="CL74" s="399"/>
      <c r="CM74" s="399"/>
      <c r="CN74" s="399"/>
      <c r="CO74" s="399">
        <v>-4492.6626000000006</v>
      </c>
      <c r="CP74" s="399">
        <v>0</v>
      </c>
      <c r="CQ74" s="399">
        <v>30</v>
      </c>
      <c r="CR74" s="399">
        <v>-346.24303330789007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-26.356684661803229</v>
      </c>
      <c r="DA74" s="399">
        <v>0</v>
      </c>
      <c r="DB74" s="399">
        <v>0</v>
      </c>
      <c r="DC74" s="399">
        <v>0</v>
      </c>
      <c r="DD74" s="399">
        <v>0</v>
      </c>
      <c r="DE74" s="399">
        <v>0</v>
      </c>
      <c r="DF74" s="399">
        <v>0</v>
      </c>
      <c r="DG74" s="399">
        <v>0</v>
      </c>
      <c r="DH74" s="399">
        <v>0</v>
      </c>
      <c r="DI74" s="399">
        <v>-275.0015365833151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-36.735714430814994</v>
      </c>
      <c r="DP74" s="399">
        <v>-8.1490976319556268</v>
      </c>
      <c r="DQ74" s="399">
        <v>0</v>
      </c>
      <c r="DR74" s="399">
        <v>0</v>
      </c>
      <c r="DS74" s="399"/>
      <c r="DT74" s="399"/>
      <c r="DU74" s="399"/>
      <c r="DV74" s="399">
        <v>23333.661996815681</v>
      </c>
      <c r="DW74" s="399">
        <v>0</v>
      </c>
      <c r="DX74" s="399">
        <v>0</v>
      </c>
      <c r="DY74" s="399">
        <v>-4492.6625999999997</v>
      </c>
      <c r="DZ74" s="399">
        <v>0</v>
      </c>
      <c r="EA74" s="399">
        <v>0</v>
      </c>
      <c r="EB74" s="399">
        <v>0</v>
      </c>
      <c r="EC74" s="399">
        <v>-4146.2509846691573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229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954</v>
      </c>
      <c r="C75" s="399" t="s">
        <v>2336</v>
      </c>
      <c r="D75" s="399" t="s">
        <v>1822</v>
      </c>
      <c r="E75" s="399" t="s">
        <v>919</v>
      </c>
      <c r="F75" s="399" t="s">
        <v>2352</v>
      </c>
      <c r="G75" s="399" t="s">
        <v>1237</v>
      </c>
      <c r="H75" s="399" t="s">
        <v>1237</v>
      </c>
      <c r="I75" s="399" t="s">
        <v>1237</v>
      </c>
      <c r="J75" s="399" t="s">
        <v>2337</v>
      </c>
      <c r="K75" s="788">
        <v>44501</v>
      </c>
      <c r="L75" s="399">
        <v>0</v>
      </c>
      <c r="M75" s="399">
        <v>0</v>
      </c>
      <c r="N75" s="399">
        <v>4.6029999999999998</v>
      </c>
      <c r="O75" s="399">
        <v>4.3268199999999997</v>
      </c>
      <c r="P75" s="399">
        <v>4.6029999999999998</v>
      </c>
      <c r="Q75" s="399">
        <v>4.3268199999999997</v>
      </c>
      <c r="R75" s="399"/>
      <c r="S75" s="399">
        <v>707.13</v>
      </c>
      <c r="T75" s="399">
        <v>119.97</v>
      </c>
      <c r="U75" s="399"/>
      <c r="V75" s="399">
        <v>3807.1413000000002</v>
      </c>
      <c r="W75" s="399">
        <v>3807.1413000000002</v>
      </c>
      <c r="X75" s="399">
        <v>3355.7250899999999</v>
      </c>
      <c r="Y75" s="399">
        <v>0</v>
      </c>
      <c r="Z75" s="399">
        <v>280.29913069809601</v>
      </c>
      <c r="AA75" s="399">
        <v>0</v>
      </c>
      <c r="AB75" s="399">
        <v>0</v>
      </c>
      <c r="AC75" s="399">
        <v>0</v>
      </c>
      <c r="AD75" s="399">
        <v>495.00298732205249</v>
      </c>
      <c r="AE75" s="399">
        <v>2344.5976526996046</v>
      </c>
      <c r="AF75" s="399">
        <v>552.23959736595395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43.315269858466515</v>
      </c>
      <c r="AM75" s="399"/>
      <c r="AN75" s="399">
        <v>9.9024281518051307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81.806419370102802</v>
      </c>
      <c r="BH75" s="399">
        <v>0</v>
      </c>
      <c r="BI75" s="399">
        <v>0</v>
      </c>
      <c r="BJ75" s="399">
        <v>0</v>
      </c>
      <c r="BK75" s="399">
        <v>1269.26</v>
      </c>
      <c r="BL75" s="399">
        <v>7</v>
      </c>
      <c r="BM75" s="399"/>
      <c r="BN75" s="399"/>
      <c r="BO75" s="399"/>
      <c r="BP75" s="399"/>
      <c r="BQ75" s="399">
        <v>201.34350540000005</v>
      </c>
      <c r="BR75" s="399"/>
      <c r="BS75" s="399"/>
      <c r="BT75" s="399"/>
      <c r="BU75" s="399"/>
      <c r="BV75" s="399">
        <v>634.0460167360568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3156.6998999999996</v>
      </c>
      <c r="CJ75" s="399">
        <v>-422.042922000001</v>
      </c>
      <c r="CK75" s="399"/>
      <c r="CL75" s="399"/>
      <c r="CM75" s="399"/>
      <c r="CN75" s="399"/>
      <c r="CO75" s="399">
        <v>-451.41621000000021</v>
      </c>
      <c r="CP75" s="399">
        <v>0</v>
      </c>
      <c r="CQ75" s="399">
        <v>30</v>
      </c>
      <c r="CR75" s="399">
        <v>-34.790964370188703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-2.648355024574073</v>
      </c>
      <c r="DA75" s="399">
        <v>0</v>
      </c>
      <c r="DB75" s="399">
        <v>0</v>
      </c>
      <c r="DC75" s="399">
        <v>0</v>
      </c>
      <c r="DD75" s="399">
        <v>0</v>
      </c>
      <c r="DE75" s="399">
        <v>0</v>
      </c>
      <c r="DF75" s="399">
        <v>0</v>
      </c>
      <c r="DG75" s="399">
        <v>0</v>
      </c>
      <c r="DH75" s="399">
        <v>0</v>
      </c>
      <c r="DI75" s="399">
        <v>-27.63252322974472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-3.6912538561879842</v>
      </c>
      <c r="DP75" s="399">
        <v>-0.81883225968172724</v>
      </c>
      <c r="DQ75" s="399">
        <v>0</v>
      </c>
      <c r="DR75" s="399">
        <v>0</v>
      </c>
      <c r="DS75" s="399"/>
      <c r="DT75" s="399"/>
      <c r="DU75" s="399"/>
      <c r="DV75" s="399">
        <v>2344.5976526996046</v>
      </c>
      <c r="DW75" s="399">
        <v>0</v>
      </c>
      <c r="DX75" s="399">
        <v>0</v>
      </c>
      <c r="DY75" s="399">
        <v>-451.41621000000032</v>
      </c>
      <c r="DZ75" s="399">
        <v>0</v>
      </c>
      <c r="EA75" s="399">
        <v>0</v>
      </c>
      <c r="EB75" s="399">
        <v>0</v>
      </c>
      <c r="EC75" s="399">
        <v>-416.62085991840718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229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954</v>
      </c>
      <c r="C76" s="399" t="s">
        <v>2344</v>
      </c>
      <c r="D76" s="399" t="s">
        <v>533</v>
      </c>
      <c r="E76" s="399" t="s">
        <v>919</v>
      </c>
      <c r="F76" s="399" t="s">
        <v>2352</v>
      </c>
      <c r="G76" s="399" t="s">
        <v>1237</v>
      </c>
      <c r="H76" s="399" t="s">
        <v>1237</v>
      </c>
      <c r="I76" s="399" t="s">
        <v>891</v>
      </c>
      <c r="J76" s="399" t="s">
        <v>2337</v>
      </c>
      <c r="K76" s="788">
        <v>44501</v>
      </c>
      <c r="L76" s="399">
        <v>0</v>
      </c>
      <c r="M76" s="399">
        <v>0</v>
      </c>
      <c r="N76" s="399">
        <v>4.5609999999999999</v>
      </c>
      <c r="O76" s="399">
        <v>4.2873400000000004</v>
      </c>
      <c r="P76" s="399">
        <v>4.5609999999999999</v>
      </c>
      <c r="Q76" s="399">
        <v>4.2873400000000004</v>
      </c>
      <c r="R76" s="399"/>
      <c r="S76" s="399">
        <v>3312.96</v>
      </c>
      <c r="T76" s="399">
        <v>119.97</v>
      </c>
      <c r="U76" s="399"/>
      <c r="V76" s="399">
        <v>15657.593730000001</v>
      </c>
      <c r="W76" s="399">
        <v>15657.593730000001</v>
      </c>
      <c r="X76" s="399">
        <v>13590.913410000001</v>
      </c>
      <c r="Y76" s="399">
        <v>0</v>
      </c>
      <c r="Z76" s="399">
        <v>241.63514480755882</v>
      </c>
      <c r="AA76" s="399">
        <v>0</v>
      </c>
      <c r="AB76" s="399">
        <v>0</v>
      </c>
      <c r="AC76" s="399">
        <v>0</v>
      </c>
      <c r="AD76" s="399">
        <v>3409.9814994813119</v>
      </c>
      <c r="AE76" s="399">
        <v>11371.443288322516</v>
      </c>
      <c r="AF76" s="399">
        <v>547.20069597786573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42.920040370294544</v>
      </c>
      <c r="AM76" s="399"/>
      <c r="AN76" s="399">
        <v>3.834578618033877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40.61044801380222</v>
      </c>
      <c r="BH76" s="399">
        <v>0</v>
      </c>
      <c r="BI76" s="399">
        <v>0</v>
      </c>
      <c r="BJ76" s="399">
        <v>0</v>
      </c>
      <c r="BK76" s="399">
        <v>0</v>
      </c>
      <c r="BL76" s="399">
        <v>0</v>
      </c>
      <c r="BM76" s="399"/>
      <c r="BN76" s="399"/>
      <c r="BO76" s="399"/>
      <c r="BP76" s="399"/>
      <c r="BQ76" s="399">
        <v>815.45480459999874</v>
      </c>
      <c r="BR76" s="399"/>
      <c r="BS76" s="399"/>
      <c r="BT76" s="399"/>
      <c r="BU76" s="399"/>
      <c r="BV76" s="399">
        <v>587.8111439916679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12783.384900000001</v>
      </c>
      <c r="CJ76" s="399">
        <v>-1934.7832062000016</v>
      </c>
      <c r="CK76" s="399"/>
      <c r="CL76" s="399"/>
      <c r="CM76" s="399"/>
      <c r="CN76" s="399"/>
      <c r="CO76" s="399">
        <v>-2066.6803199999995</v>
      </c>
      <c r="CP76" s="399">
        <v>0</v>
      </c>
      <c r="CQ76" s="399">
        <v>30</v>
      </c>
      <c r="CR76" s="399">
        <v>-46.039608898016013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-18.244014418415645</v>
      </c>
      <c r="DA76" s="399">
        <v>0</v>
      </c>
      <c r="DB76" s="399">
        <v>0</v>
      </c>
      <c r="DC76" s="399">
        <v>0</v>
      </c>
      <c r="DD76" s="399">
        <v>0</v>
      </c>
      <c r="DE76" s="399">
        <v>0</v>
      </c>
      <c r="DF76" s="399">
        <v>0</v>
      </c>
      <c r="DG76" s="399">
        <v>0</v>
      </c>
      <c r="DH76" s="399">
        <v>0</v>
      </c>
      <c r="DI76" s="399">
        <v>-23.820939920106952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-3.6575730693185804</v>
      </c>
      <c r="DP76" s="399">
        <v>-0.31708149017566845</v>
      </c>
      <c r="DQ76" s="399">
        <v>0</v>
      </c>
      <c r="DR76" s="399">
        <v>0</v>
      </c>
      <c r="DS76" s="399"/>
      <c r="DT76" s="399"/>
      <c r="DU76" s="399"/>
      <c r="DV76" s="399">
        <v>11371.443288322516</v>
      </c>
      <c r="DW76" s="399">
        <v>0</v>
      </c>
      <c r="DX76" s="399">
        <v>0</v>
      </c>
      <c r="DY76" s="399">
        <v>-2066.6803199999995</v>
      </c>
      <c r="DZ76" s="399">
        <v>0</v>
      </c>
      <c r="EA76" s="399">
        <v>0</v>
      </c>
      <c r="EB76" s="399">
        <v>0</v>
      </c>
      <c r="EC76" s="399">
        <v>-2020.6368780755947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229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954</v>
      </c>
      <c r="C77" s="399" t="s">
        <v>2344</v>
      </c>
      <c r="D77" s="399" t="s">
        <v>533</v>
      </c>
      <c r="E77" s="399" t="s">
        <v>919</v>
      </c>
      <c r="F77" s="399" t="s">
        <v>2352</v>
      </c>
      <c r="G77" s="399" t="s">
        <v>1237</v>
      </c>
      <c r="H77" s="399" t="s">
        <v>1237</v>
      </c>
      <c r="I77" s="399" t="s">
        <v>2322</v>
      </c>
      <c r="J77" s="399" t="s">
        <v>2337</v>
      </c>
      <c r="K77" s="788">
        <v>44501</v>
      </c>
      <c r="L77" s="399">
        <v>0</v>
      </c>
      <c r="M77" s="399">
        <v>0</v>
      </c>
      <c r="N77" s="399">
        <v>40.524999999999999</v>
      </c>
      <c r="O77" s="399">
        <v>38.093499999999999</v>
      </c>
      <c r="P77" s="399">
        <v>40.524999999999999</v>
      </c>
      <c r="Q77" s="399">
        <v>38.093499999999999</v>
      </c>
      <c r="R77" s="399"/>
      <c r="S77" s="399">
        <v>72.13</v>
      </c>
      <c r="T77" s="399">
        <v>119.97</v>
      </c>
      <c r="U77" s="399"/>
      <c r="V77" s="399">
        <v>7784.8524999999991</v>
      </c>
      <c r="W77" s="399">
        <v>7784.8524999999991</v>
      </c>
      <c r="X77" s="399">
        <v>7538.0552499999994</v>
      </c>
      <c r="Y77" s="399">
        <v>0</v>
      </c>
      <c r="Z77" s="399">
        <v>2146.9555455659552</v>
      </c>
      <c r="AA77" s="399">
        <v>0</v>
      </c>
      <c r="AB77" s="399">
        <v>0</v>
      </c>
      <c r="AC77" s="399">
        <v>0</v>
      </c>
      <c r="AD77" s="399">
        <v>0</v>
      </c>
      <c r="AE77" s="399">
        <v>0</v>
      </c>
      <c r="AF77" s="399">
        <v>4861.9399702922628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381.34940495641007</v>
      </c>
      <c r="AM77" s="399"/>
      <c r="AN77" s="399">
        <v>34.070663998207159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360.82841608404624</v>
      </c>
      <c r="BH77" s="399">
        <v>0</v>
      </c>
      <c r="BI77" s="399">
        <v>0</v>
      </c>
      <c r="BJ77" s="399">
        <v>0</v>
      </c>
      <c r="BK77" s="399">
        <v>0</v>
      </c>
      <c r="BL77" s="399">
        <v>0</v>
      </c>
      <c r="BM77" s="399"/>
      <c r="BN77" s="399"/>
      <c r="BO77" s="399"/>
      <c r="BP77" s="399"/>
      <c r="BQ77" s="399">
        <v>452.28331499999996</v>
      </c>
      <c r="BR77" s="399"/>
      <c r="BS77" s="399"/>
      <c r="BT77" s="399"/>
      <c r="BU77" s="399"/>
      <c r="BV77" s="399">
        <v>5222.7683863763086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7085.1209000000017</v>
      </c>
      <c r="CJ77" s="399">
        <v>-232.67044999999871</v>
      </c>
      <c r="CK77" s="399"/>
      <c r="CL77" s="399"/>
      <c r="CM77" s="399"/>
      <c r="CN77" s="399"/>
      <c r="CO77" s="399">
        <v>-246.79724999999956</v>
      </c>
      <c r="CP77" s="399">
        <v>0</v>
      </c>
      <c r="CQ77" s="399">
        <v>30</v>
      </c>
      <c r="CR77" s="399">
        <v>-246.96699545841693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0</v>
      </c>
      <c r="DA77" s="399">
        <v>0</v>
      </c>
      <c r="DB77" s="399">
        <v>0</v>
      </c>
      <c r="DC77" s="399">
        <v>0</v>
      </c>
      <c r="DD77" s="399">
        <v>0</v>
      </c>
      <c r="DE77" s="399">
        <v>0</v>
      </c>
      <c r="DF77" s="399">
        <v>0</v>
      </c>
      <c r="DG77" s="399">
        <v>0</v>
      </c>
      <c r="DH77" s="399">
        <v>0</v>
      </c>
      <c r="DI77" s="399">
        <v>-211.65174090382266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-32.49794971149646</v>
      </c>
      <c r="DP77" s="399">
        <v>-2.8173048430977765</v>
      </c>
      <c r="DQ77" s="399">
        <v>0</v>
      </c>
      <c r="DR77" s="399">
        <v>0</v>
      </c>
      <c r="DS77" s="399"/>
      <c r="DT77" s="399"/>
      <c r="DU77" s="399"/>
      <c r="DV77" s="399">
        <v>0</v>
      </c>
      <c r="DW77" s="399">
        <v>0</v>
      </c>
      <c r="DX77" s="399">
        <v>0</v>
      </c>
      <c r="DY77" s="399">
        <v>-246.79724999999962</v>
      </c>
      <c r="DZ77" s="399">
        <v>0</v>
      </c>
      <c r="EA77" s="399">
        <v>0</v>
      </c>
      <c r="EB77" s="399">
        <v>0</v>
      </c>
      <c r="EC77" s="399">
        <v>0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229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954</v>
      </c>
      <c r="C78" s="399" t="s">
        <v>2344</v>
      </c>
      <c r="D78" s="399" t="s">
        <v>533</v>
      </c>
      <c r="E78" s="399" t="s">
        <v>919</v>
      </c>
      <c r="F78" s="399" t="s">
        <v>2352</v>
      </c>
      <c r="G78" s="399" t="s">
        <v>1237</v>
      </c>
      <c r="H78" s="399" t="s">
        <v>1237</v>
      </c>
      <c r="I78" s="399" t="s">
        <v>1237</v>
      </c>
      <c r="J78" s="399" t="s">
        <v>2337</v>
      </c>
      <c r="K78" s="788">
        <v>44501</v>
      </c>
      <c r="L78" s="399">
        <v>100</v>
      </c>
      <c r="M78" s="399">
        <v>94</v>
      </c>
      <c r="N78" s="399">
        <v>0</v>
      </c>
      <c r="O78" s="399">
        <v>0</v>
      </c>
      <c r="P78" s="399">
        <v>0</v>
      </c>
      <c r="Q78" s="399">
        <v>0</v>
      </c>
      <c r="R78" s="399">
        <v>46.29</v>
      </c>
      <c r="S78" s="399"/>
      <c r="T78" s="399"/>
      <c r="U78" s="399">
        <v>4629</v>
      </c>
      <c r="V78" s="399"/>
      <c r="W78" s="399">
        <v>4629</v>
      </c>
      <c r="X78" s="399">
        <v>4115</v>
      </c>
      <c r="Y78" s="399">
        <v>0</v>
      </c>
      <c r="Z78" s="399">
        <v>0</v>
      </c>
      <c r="AA78" s="399">
        <v>0</v>
      </c>
      <c r="AB78" s="399">
        <v>0</v>
      </c>
      <c r="AC78" s="399">
        <v>0</v>
      </c>
      <c r="AD78" s="399">
        <v>1791.3012373515901</v>
      </c>
      <c r="AE78" s="399">
        <v>2837.3428309380402</v>
      </c>
      <c r="AF78" s="399"/>
      <c r="AG78" s="399"/>
      <c r="AH78" s="399"/>
      <c r="AI78" s="399">
        <v>0</v>
      </c>
      <c r="AJ78" s="399">
        <v>0</v>
      </c>
      <c r="AK78" s="399">
        <v>0</v>
      </c>
      <c r="AL78" s="399">
        <v>0</v>
      </c>
      <c r="AM78" s="399"/>
      <c r="AN78" s="399">
        <v>0</v>
      </c>
      <c r="AO78" s="399">
        <v>0</v>
      </c>
      <c r="AP78" s="399">
        <v>0</v>
      </c>
      <c r="AQ78" s="399">
        <v>0</v>
      </c>
      <c r="AR78" s="399">
        <v>0</v>
      </c>
      <c r="AS78" s="399"/>
      <c r="AT78" s="399"/>
      <c r="AU78" s="399">
        <v>0</v>
      </c>
      <c r="AV78" s="399">
        <v>0</v>
      </c>
      <c r="AW78" s="399">
        <v>0</v>
      </c>
      <c r="AX78" s="399"/>
      <c r="AY78" s="399"/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/>
      <c r="BG78" s="399">
        <v>0</v>
      </c>
      <c r="BH78" s="399">
        <v>0</v>
      </c>
      <c r="BI78" s="399">
        <v>0</v>
      </c>
      <c r="BJ78" s="399">
        <v>0</v>
      </c>
      <c r="BK78" s="399">
        <v>10043.84</v>
      </c>
      <c r="BL78" s="399">
        <v>1</v>
      </c>
      <c r="BM78" s="399"/>
      <c r="BN78" s="399"/>
      <c r="BO78" s="399"/>
      <c r="BP78" s="399"/>
      <c r="BQ78" s="399">
        <v>246.89999999999998</v>
      </c>
      <c r="BR78" s="399"/>
      <c r="BS78" s="399"/>
      <c r="BT78" s="399"/>
      <c r="BU78" s="399"/>
      <c r="BV78" s="399">
        <v>0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3868.1</v>
      </c>
      <c r="CJ78" s="399">
        <v>-483.19000000000096</v>
      </c>
      <c r="CK78" s="399"/>
      <c r="CL78" s="399"/>
      <c r="CM78" s="399"/>
      <c r="CN78" s="399"/>
      <c r="CO78" s="399">
        <v>-514</v>
      </c>
      <c r="CP78" s="399">
        <v>0</v>
      </c>
      <c r="CQ78" s="399">
        <v>30</v>
      </c>
      <c r="CR78" s="399">
        <v>-9.5837838436800666</v>
      </c>
      <c r="CS78" s="399">
        <v>0</v>
      </c>
      <c r="CT78" s="399">
        <v>0</v>
      </c>
      <c r="CU78" s="399">
        <v>0</v>
      </c>
      <c r="CV78" s="399">
        <v>0</v>
      </c>
      <c r="CW78" s="399"/>
      <c r="CX78" s="399"/>
      <c r="CY78" s="399"/>
      <c r="CZ78" s="399">
        <v>-9.5837838436800666</v>
      </c>
      <c r="DA78" s="399">
        <v>0</v>
      </c>
      <c r="DB78" s="399">
        <v>0</v>
      </c>
      <c r="DC78" s="399"/>
      <c r="DD78" s="399"/>
      <c r="DE78" s="399">
        <v>0</v>
      </c>
      <c r="DF78" s="399">
        <v>0</v>
      </c>
      <c r="DG78" s="399">
        <v>0</v>
      </c>
      <c r="DH78" s="399">
        <v>0</v>
      </c>
      <c r="DI78" s="399">
        <v>0</v>
      </c>
      <c r="DJ78" s="399"/>
      <c r="DK78" s="399">
        <v>0</v>
      </c>
      <c r="DL78" s="399">
        <v>0</v>
      </c>
      <c r="DM78" s="399"/>
      <c r="DN78" s="399">
        <v>0</v>
      </c>
      <c r="DO78" s="399">
        <v>0</v>
      </c>
      <c r="DP78" s="399">
        <v>0</v>
      </c>
      <c r="DQ78" s="399">
        <v>0</v>
      </c>
      <c r="DR78" s="399">
        <v>0</v>
      </c>
      <c r="DS78" s="399"/>
      <c r="DT78" s="399"/>
      <c r="DU78" s="399">
        <v>2837.3428309380402</v>
      </c>
      <c r="DV78" s="399"/>
      <c r="DW78" s="399">
        <v>0</v>
      </c>
      <c r="DX78" s="399">
        <v>0</v>
      </c>
      <c r="DY78" s="399">
        <v>-514</v>
      </c>
      <c r="DZ78" s="399"/>
      <c r="EA78" s="399">
        <v>0</v>
      </c>
      <c r="EB78" s="399"/>
      <c r="EC78" s="399">
        <v>-504.17870577822032</v>
      </c>
      <c r="ED78" s="399"/>
      <c r="EE78" s="399">
        <v>0</v>
      </c>
      <c r="EF78" s="399">
        <v>0</v>
      </c>
      <c r="EG78" s="399"/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/>
      <c r="EN78" s="399"/>
      <c r="EO78" s="399">
        <v>0</v>
      </c>
      <c r="EP78" s="399">
        <v>0</v>
      </c>
      <c r="EQ78" s="399"/>
      <c r="ER78" s="399">
        <v>0</v>
      </c>
      <c r="ES78" s="399"/>
      <c r="ET78" s="399">
        <v>0</v>
      </c>
      <c r="EU78" s="399"/>
      <c r="EV78" s="399">
        <v>229</v>
      </c>
      <c r="EW78" s="399"/>
      <c r="EX78" s="399"/>
      <c r="EY78" s="399"/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954</v>
      </c>
      <c r="C79" s="399" t="s">
        <v>2336</v>
      </c>
      <c r="D79" s="399" t="s">
        <v>1819</v>
      </c>
      <c r="E79" s="399" t="s">
        <v>887</v>
      </c>
      <c r="F79" s="399" t="s">
        <v>887</v>
      </c>
      <c r="G79" s="399" t="s">
        <v>1237</v>
      </c>
      <c r="H79" s="399" t="s">
        <v>1237</v>
      </c>
      <c r="I79" s="399" t="s">
        <v>1237</v>
      </c>
      <c r="J79" s="399" t="s">
        <v>2337</v>
      </c>
      <c r="K79" s="788">
        <v>44531</v>
      </c>
      <c r="L79" s="399">
        <v>0</v>
      </c>
      <c r="M79" s="399">
        <v>0</v>
      </c>
      <c r="N79" s="399">
        <v>532.57899999999995</v>
      </c>
      <c r="O79" s="399">
        <v>532.57899999999995</v>
      </c>
      <c r="P79" s="399">
        <v>532.57899999999995</v>
      </c>
      <c r="Q79" s="399">
        <v>532.57899999999995</v>
      </c>
      <c r="R79" s="399"/>
      <c r="S79" s="399">
        <v>707.13</v>
      </c>
      <c r="T79" s="399">
        <v>119.97</v>
      </c>
      <c r="U79" s="399"/>
      <c r="V79" s="399">
        <v>440496.09089999995</v>
      </c>
      <c r="W79" s="399">
        <v>440496.09089999995</v>
      </c>
      <c r="X79" s="399">
        <v>388266.06836999994</v>
      </c>
      <c r="Y79" s="399">
        <v>0</v>
      </c>
      <c r="Z79" s="399">
        <v>32431.334070836689</v>
      </c>
      <c r="AA79" s="399">
        <v>0</v>
      </c>
      <c r="AB79" s="399">
        <v>0</v>
      </c>
      <c r="AC79" s="399">
        <v>0</v>
      </c>
      <c r="AD79" s="399">
        <v>57273.125349770016</v>
      </c>
      <c r="AE79" s="399">
        <v>271276.00983643334</v>
      </c>
      <c r="AF79" s="399">
        <v>63895.549103967496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5011.6887043128909</v>
      </c>
      <c r="AM79" s="399"/>
      <c r="AN79" s="399">
        <v>1145.736537618993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9465.2142128416217</v>
      </c>
      <c r="BH79" s="399">
        <v>0</v>
      </c>
      <c r="BI79" s="399">
        <v>0</v>
      </c>
      <c r="BJ79" s="399">
        <v>0</v>
      </c>
      <c r="BK79" s="399">
        <v>94212.99</v>
      </c>
      <c r="BL79" s="399">
        <v>3118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>
        <v>73360.763316809112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388266.79739999998</v>
      </c>
      <c r="CJ79" s="399">
        <v>-52229.323499999999</v>
      </c>
      <c r="CK79" s="399"/>
      <c r="CL79" s="399"/>
      <c r="CM79" s="399"/>
      <c r="CN79" s="399"/>
      <c r="CO79" s="399">
        <v>-52230.022530000024</v>
      </c>
      <c r="CP79" s="399">
        <v>0</v>
      </c>
      <c r="CQ79" s="399"/>
      <c r="CR79" s="399">
        <v>-4025.4045216838131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-306.42152305727359</v>
      </c>
      <c r="DA79" s="399">
        <v>0</v>
      </c>
      <c r="DB79" s="399">
        <v>0</v>
      </c>
      <c r="DC79" s="399">
        <v>0</v>
      </c>
      <c r="DD79" s="399">
        <v>0</v>
      </c>
      <c r="DE79" s="399">
        <v>0</v>
      </c>
      <c r="DF79" s="399">
        <v>0</v>
      </c>
      <c r="DG79" s="399">
        <v>0</v>
      </c>
      <c r="DH79" s="399">
        <v>0</v>
      </c>
      <c r="DI79" s="399">
        <v>-3197.1543752279431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-427.08761405056339</v>
      </c>
      <c r="DP79" s="399">
        <v>-94.741009348041416</v>
      </c>
      <c r="DQ79" s="399">
        <v>0</v>
      </c>
      <c r="DR79" s="399">
        <v>0</v>
      </c>
      <c r="DS79" s="399"/>
      <c r="DT79" s="399"/>
      <c r="DU79" s="399"/>
      <c r="DV79" s="399">
        <v>271276.00983643334</v>
      </c>
      <c r="DW79" s="399">
        <v>0</v>
      </c>
      <c r="DX79" s="399">
        <v>0</v>
      </c>
      <c r="DY79" s="399">
        <v>-52230.022530000017</v>
      </c>
      <c r="DZ79" s="399">
        <v>0</v>
      </c>
      <c r="EA79" s="399">
        <v>0</v>
      </c>
      <c r="EB79" s="399">
        <v>0</v>
      </c>
      <c r="EC79" s="399">
        <v>-48204.110570168443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229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2338</v>
      </c>
      <c r="C80" s="399" t="s">
        <v>2336</v>
      </c>
      <c r="D80" s="399" t="s">
        <v>1819</v>
      </c>
      <c r="E80" s="399" t="s">
        <v>887</v>
      </c>
      <c r="F80" s="399" t="s">
        <v>887</v>
      </c>
      <c r="G80" s="399" t="s">
        <v>1237</v>
      </c>
      <c r="H80" s="399" t="s">
        <v>1237</v>
      </c>
      <c r="I80" s="399" t="s">
        <v>1237</v>
      </c>
      <c r="J80" s="399" t="s">
        <v>2337</v>
      </c>
      <c r="K80" s="788">
        <v>44531</v>
      </c>
      <c r="L80" s="399">
        <v>0</v>
      </c>
      <c r="M80" s="399">
        <v>0</v>
      </c>
      <c r="N80" s="399">
        <v>-37.978000000000002</v>
      </c>
      <c r="O80" s="399">
        <v>-37.978000000000002</v>
      </c>
      <c r="P80" s="399">
        <v>-37.978000000000002</v>
      </c>
      <c r="Q80" s="399">
        <v>-37.978000000000002</v>
      </c>
      <c r="R80" s="399"/>
      <c r="S80" s="399">
        <v>707.13</v>
      </c>
      <c r="T80" s="399">
        <v>119.97</v>
      </c>
      <c r="U80" s="399"/>
      <c r="V80" s="399">
        <v>-31411.603800000001</v>
      </c>
      <c r="W80" s="399">
        <v>-31411.603800000001</v>
      </c>
      <c r="X80" s="399">
        <v>-27687.101339999997</v>
      </c>
      <c r="Y80" s="399">
        <v>0</v>
      </c>
      <c r="Z80" s="399">
        <v>-2312.6657366179211</v>
      </c>
      <c r="AA80" s="399">
        <v>0</v>
      </c>
      <c r="AB80" s="399">
        <v>0</v>
      </c>
      <c r="AC80" s="399">
        <v>0</v>
      </c>
      <c r="AD80" s="399">
        <v>-4084.1241478420402</v>
      </c>
      <c r="AE80" s="399">
        <v>-19344.586064354899</v>
      </c>
      <c r="AF80" s="399">
        <v>-4556.3665932574841</v>
      </c>
      <c r="AG80" s="399">
        <v>0</v>
      </c>
      <c r="AH80" s="399">
        <v>0</v>
      </c>
      <c r="AI80" s="399">
        <v>0</v>
      </c>
      <c r="AJ80" s="399">
        <v>0</v>
      </c>
      <c r="AK80" s="399">
        <v>0</v>
      </c>
      <c r="AL80" s="399">
        <v>-357.3815595665526</v>
      </c>
      <c r="AM80" s="399"/>
      <c r="AN80" s="399">
        <v>-81.702023973333766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-674.96072014724416</v>
      </c>
      <c r="BH80" s="399">
        <v>0</v>
      </c>
      <c r="BI80" s="399">
        <v>0</v>
      </c>
      <c r="BJ80" s="399">
        <v>0</v>
      </c>
      <c r="BK80" s="399">
        <v>-11010.87</v>
      </c>
      <c r="BL80" s="399">
        <v>0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-5231.3273134047286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-27688.559399999995</v>
      </c>
      <c r="CJ80" s="399">
        <v>3723.0144000000109</v>
      </c>
      <c r="CK80" s="399"/>
      <c r="CL80" s="399"/>
      <c r="CM80" s="399"/>
      <c r="CN80" s="399"/>
      <c r="CO80" s="399">
        <v>3724.502460000002</v>
      </c>
      <c r="CP80" s="399">
        <v>0</v>
      </c>
      <c r="CQ80" s="399"/>
      <c r="CR80" s="399">
        <v>287.05002060634797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21.850798853633023</v>
      </c>
      <c r="DA80" s="399">
        <v>0</v>
      </c>
      <c r="DB80" s="399">
        <v>0</v>
      </c>
      <c r="DC80" s="399">
        <v>0</v>
      </c>
      <c r="DD80" s="399">
        <v>0</v>
      </c>
      <c r="DE80" s="399">
        <v>0</v>
      </c>
      <c r="DF80" s="399">
        <v>0</v>
      </c>
      <c r="DG80" s="399">
        <v>0</v>
      </c>
      <c r="DH80" s="399">
        <v>0</v>
      </c>
      <c r="DI80" s="399">
        <v>227.98782689968402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30.45545056491585</v>
      </c>
      <c r="DP80" s="399">
        <v>6.755944288114847</v>
      </c>
      <c r="DQ80" s="399">
        <v>0</v>
      </c>
      <c r="DR80" s="399">
        <v>0</v>
      </c>
      <c r="DS80" s="399"/>
      <c r="DT80" s="399"/>
      <c r="DU80" s="399"/>
      <c r="DV80" s="399">
        <v>-19344.586064354899</v>
      </c>
      <c r="DW80" s="399">
        <v>0</v>
      </c>
      <c r="DX80" s="399">
        <v>0</v>
      </c>
      <c r="DY80" s="399">
        <v>3724.5024600000033</v>
      </c>
      <c r="DZ80" s="399">
        <v>0</v>
      </c>
      <c r="EA80" s="399">
        <v>0</v>
      </c>
      <c r="EB80" s="399">
        <v>0</v>
      </c>
      <c r="EC80" s="399">
        <v>3437.4162541779879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229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2339</v>
      </c>
      <c r="C81" s="399" t="s">
        <v>2336</v>
      </c>
      <c r="D81" s="399" t="s">
        <v>1819</v>
      </c>
      <c r="E81" s="399" t="s">
        <v>887</v>
      </c>
      <c r="F81" s="399" t="s">
        <v>887</v>
      </c>
      <c r="G81" s="399" t="s">
        <v>1237</v>
      </c>
      <c r="H81" s="399" t="s">
        <v>1237</v>
      </c>
      <c r="I81" s="399" t="s">
        <v>1237</v>
      </c>
      <c r="J81" s="399" t="s">
        <v>2337</v>
      </c>
      <c r="K81" s="788">
        <v>44531</v>
      </c>
      <c r="L81" s="399">
        <v>0</v>
      </c>
      <c r="M81" s="399">
        <v>0</v>
      </c>
      <c r="N81" s="399">
        <v>6.3559999999999999</v>
      </c>
      <c r="O81" s="399">
        <v>6.3559999999999999</v>
      </c>
      <c r="P81" s="399">
        <v>6.3559999999999999</v>
      </c>
      <c r="Q81" s="399">
        <v>6.3559999999999999</v>
      </c>
      <c r="R81" s="399"/>
      <c r="S81" s="399">
        <v>707.13</v>
      </c>
      <c r="T81" s="399">
        <v>119.97</v>
      </c>
      <c r="U81" s="399"/>
      <c r="V81" s="399">
        <v>5257.0475999999999</v>
      </c>
      <c r="W81" s="399">
        <v>5257.0475999999999</v>
      </c>
      <c r="X81" s="399">
        <v>4633.7146799999991</v>
      </c>
      <c r="Y81" s="399">
        <v>0</v>
      </c>
      <c r="Z81" s="399">
        <v>387.04785459854406</v>
      </c>
      <c r="AA81" s="399">
        <v>0</v>
      </c>
      <c r="AB81" s="399">
        <v>0</v>
      </c>
      <c r="AC81" s="399">
        <v>0</v>
      </c>
      <c r="AD81" s="399">
        <v>683.5192238581285</v>
      </c>
      <c r="AE81" s="399">
        <v>3237.5109017072969</v>
      </c>
      <c r="AF81" s="399">
        <v>762.55374339735033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59.811395876691982</v>
      </c>
      <c r="AM81" s="399"/>
      <c r="AN81" s="399">
        <v>13.673654862670739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112.9614602468767</v>
      </c>
      <c r="BH81" s="399">
        <v>0</v>
      </c>
      <c r="BI81" s="399">
        <v>0</v>
      </c>
      <c r="BJ81" s="399">
        <v>0</v>
      </c>
      <c r="BK81" s="399">
        <v>3086.41</v>
      </c>
      <c r="BL81" s="399">
        <v>31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>
        <v>875.51520364422709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4636.6307999999999</v>
      </c>
      <c r="CJ81" s="399">
        <v>-620.44680000000062</v>
      </c>
      <c r="CK81" s="399"/>
      <c r="CL81" s="399"/>
      <c r="CM81" s="399"/>
      <c r="CN81" s="399"/>
      <c r="CO81" s="399">
        <v>-623.33292000000029</v>
      </c>
      <c r="CP81" s="399">
        <v>0</v>
      </c>
      <c r="CQ81" s="399"/>
      <c r="CR81" s="399">
        <v>-48.040705960659807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-3.6569508008238927</v>
      </c>
      <c r="DA81" s="399">
        <v>0</v>
      </c>
      <c r="DB81" s="399">
        <v>0</v>
      </c>
      <c r="DC81" s="399">
        <v>0</v>
      </c>
      <c r="DD81" s="399">
        <v>0</v>
      </c>
      <c r="DE81" s="399">
        <v>0</v>
      </c>
      <c r="DF81" s="399">
        <v>0</v>
      </c>
      <c r="DG81" s="399">
        <v>0</v>
      </c>
      <c r="DH81" s="399">
        <v>0</v>
      </c>
      <c r="DI81" s="399">
        <v>-38.156054235989018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-5.0970257462374278</v>
      </c>
      <c r="DP81" s="399">
        <v>-1.1306751776096142</v>
      </c>
      <c r="DQ81" s="399">
        <v>0</v>
      </c>
      <c r="DR81" s="399">
        <v>0</v>
      </c>
      <c r="DS81" s="399"/>
      <c r="DT81" s="399"/>
      <c r="DU81" s="399"/>
      <c r="DV81" s="399">
        <v>3237.5109017072969</v>
      </c>
      <c r="DW81" s="399">
        <v>0</v>
      </c>
      <c r="DX81" s="399">
        <v>0</v>
      </c>
      <c r="DY81" s="399">
        <v>-623.33292000000074</v>
      </c>
      <c r="DZ81" s="399">
        <v>0</v>
      </c>
      <c r="EA81" s="399">
        <v>0</v>
      </c>
      <c r="EB81" s="399">
        <v>0</v>
      </c>
      <c r="EC81" s="399">
        <v>-575.28615807981669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229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954</v>
      </c>
      <c r="C82" s="399" t="s">
        <v>2336</v>
      </c>
      <c r="D82" s="399" t="s">
        <v>1819</v>
      </c>
      <c r="E82" s="399" t="s">
        <v>887</v>
      </c>
      <c r="F82" s="399" t="s">
        <v>2340</v>
      </c>
      <c r="G82" s="399" t="s">
        <v>1237</v>
      </c>
      <c r="H82" s="399" t="s">
        <v>1237</v>
      </c>
      <c r="I82" s="399" t="s">
        <v>1237</v>
      </c>
      <c r="J82" s="399" t="s">
        <v>2337</v>
      </c>
      <c r="K82" s="788">
        <v>44531</v>
      </c>
      <c r="L82" s="399">
        <v>0</v>
      </c>
      <c r="M82" s="399">
        <v>0</v>
      </c>
      <c r="N82" s="399">
        <v>4.17</v>
      </c>
      <c r="O82" s="399">
        <v>4.17</v>
      </c>
      <c r="P82" s="399">
        <v>4.17</v>
      </c>
      <c r="Q82" s="399">
        <v>4.17</v>
      </c>
      <c r="R82" s="399"/>
      <c r="S82" s="399">
        <v>636.83000000000004</v>
      </c>
      <c r="T82" s="399">
        <v>119.97</v>
      </c>
      <c r="U82" s="399"/>
      <c r="V82" s="399">
        <v>3155.8560000000002</v>
      </c>
      <c r="W82" s="399">
        <v>3155.8560000000002</v>
      </c>
      <c r="X82" s="399">
        <v>2775.2600999999995</v>
      </c>
      <c r="Y82" s="399">
        <v>0</v>
      </c>
      <c r="Z82" s="399">
        <v>0</v>
      </c>
      <c r="AA82" s="399">
        <v>0</v>
      </c>
      <c r="AB82" s="399">
        <v>0</v>
      </c>
      <c r="AC82" s="399">
        <v>0</v>
      </c>
      <c r="AD82" s="399">
        <v>448.43850904474448</v>
      </c>
      <c r="AE82" s="399">
        <v>2124.043495928167</v>
      </c>
      <c r="AF82" s="399">
        <v>500.29092353161593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0</v>
      </c>
      <c r="AM82" s="399"/>
      <c r="AN82" s="399">
        <v>8.9709157925325655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74.110964321818102</v>
      </c>
      <c r="BH82" s="399">
        <v>0</v>
      </c>
      <c r="BI82" s="399">
        <v>0</v>
      </c>
      <c r="BJ82" s="399">
        <v>0</v>
      </c>
      <c r="BK82" s="399">
        <v>132.05000000000001</v>
      </c>
      <c r="BL82" s="399">
        <v>7</v>
      </c>
      <c r="BM82" s="399"/>
      <c r="BN82" s="399"/>
      <c r="BO82" s="399"/>
      <c r="BP82" s="399"/>
      <c r="BQ82" s="399"/>
      <c r="BR82" s="399"/>
      <c r="BS82" s="399"/>
      <c r="BT82" s="399">
        <v>1803.9002999999998</v>
      </c>
      <c r="BU82" s="399"/>
      <c r="BV82" s="399">
        <v>574.401887853434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971.35979999999995</v>
      </c>
      <c r="CJ82" s="399">
        <v>-133.21979999999985</v>
      </c>
      <c r="CK82" s="399"/>
      <c r="CL82" s="399"/>
      <c r="CM82" s="399"/>
      <c r="CN82" s="399"/>
      <c r="CO82" s="399">
        <v>-380.59590000000037</v>
      </c>
      <c r="CP82" s="399">
        <v>0</v>
      </c>
      <c r="CQ82" s="399"/>
      <c r="CR82" s="399">
        <v>-3.1410321475875662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-2.399226689653176</v>
      </c>
      <c r="DA82" s="399">
        <v>0</v>
      </c>
      <c r="DB82" s="399">
        <v>0</v>
      </c>
      <c r="DC82" s="399">
        <v>0</v>
      </c>
      <c r="DD82" s="399">
        <v>0</v>
      </c>
      <c r="DE82" s="399">
        <v>0</v>
      </c>
      <c r="DF82" s="399">
        <v>0</v>
      </c>
      <c r="DG82" s="399">
        <v>0</v>
      </c>
      <c r="DH82" s="399">
        <v>0</v>
      </c>
      <c r="DI82" s="399">
        <v>0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0</v>
      </c>
      <c r="DP82" s="399">
        <v>-0.74180545793456432</v>
      </c>
      <c r="DQ82" s="399">
        <v>0</v>
      </c>
      <c r="DR82" s="399">
        <v>0</v>
      </c>
      <c r="DS82" s="399"/>
      <c r="DT82" s="399"/>
      <c r="DU82" s="399"/>
      <c r="DV82" s="399">
        <v>2124.043495928167</v>
      </c>
      <c r="DW82" s="399">
        <v>0</v>
      </c>
      <c r="DX82" s="399">
        <v>0</v>
      </c>
      <c r="DY82" s="399">
        <v>-380.59590000000071</v>
      </c>
      <c r="DZ82" s="399">
        <v>0</v>
      </c>
      <c r="EA82" s="399">
        <v>0</v>
      </c>
      <c r="EB82" s="399">
        <v>0</v>
      </c>
      <c r="EC82" s="399">
        <v>-377.42971667602842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229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8" customFormat="1">
      <c r="A83" s="399">
        <v>81</v>
      </c>
      <c r="B83" s="399" t="s">
        <v>954</v>
      </c>
      <c r="C83" s="399" t="s">
        <v>2336</v>
      </c>
      <c r="D83" s="399" t="s">
        <v>1819</v>
      </c>
      <c r="E83" s="399" t="s">
        <v>887</v>
      </c>
      <c r="F83" s="399" t="s">
        <v>2341</v>
      </c>
      <c r="G83" s="399" t="s">
        <v>1237</v>
      </c>
      <c r="H83" s="399" t="s">
        <v>1237</v>
      </c>
      <c r="I83" s="399" t="s">
        <v>1237</v>
      </c>
      <c r="J83" s="399" t="s">
        <v>2337</v>
      </c>
      <c r="K83" s="788">
        <v>44531</v>
      </c>
      <c r="L83" s="399">
        <v>0</v>
      </c>
      <c r="M83" s="399">
        <v>0</v>
      </c>
      <c r="N83" s="399">
        <v>8.4770000000000003</v>
      </c>
      <c r="O83" s="399">
        <v>8.4770000000000003</v>
      </c>
      <c r="P83" s="399">
        <v>8.4770000000000003</v>
      </c>
      <c r="Q83" s="399">
        <v>8.4770000000000003</v>
      </c>
      <c r="R83" s="399"/>
      <c r="S83" s="399">
        <v>636.83000000000004</v>
      </c>
      <c r="T83" s="399">
        <v>119.97</v>
      </c>
      <c r="U83" s="399"/>
      <c r="V83" s="399">
        <v>6415.3936000000012</v>
      </c>
      <c r="W83" s="399">
        <v>6415.3936000000012</v>
      </c>
      <c r="X83" s="399">
        <v>5641.6978099999997</v>
      </c>
      <c r="Y83" s="399">
        <v>0</v>
      </c>
      <c r="Z83" s="399">
        <v>0</v>
      </c>
      <c r="AA83" s="399">
        <v>0</v>
      </c>
      <c r="AB83" s="399">
        <v>0</v>
      </c>
      <c r="AC83" s="399">
        <v>0</v>
      </c>
      <c r="AD83" s="399">
        <v>911.60988996937635</v>
      </c>
      <c r="AE83" s="399">
        <v>4317.869715823279</v>
      </c>
      <c r="AF83" s="399">
        <v>1017.0182634958054</v>
      </c>
      <c r="AG83" s="399">
        <v>0</v>
      </c>
      <c r="AH83" s="399">
        <v>0</v>
      </c>
      <c r="AI83" s="399">
        <v>0</v>
      </c>
      <c r="AJ83" s="399">
        <v>0</v>
      </c>
      <c r="AK83" s="399">
        <v>0</v>
      </c>
      <c r="AL83" s="399">
        <v>0</v>
      </c>
      <c r="AM83" s="399"/>
      <c r="AN83" s="399">
        <v>18.23655951398047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150.65674929401729</v>
      </c>
      <c r="BH83" s="399">
        <v>0</v>
      </c>
      <c r="BI83" s="399">
        <v>0</v>
      </c>
      <c r="BJ83" s="399">
        <v>0</v>
      </c>
      <c r="BK83" s="399">
        <v>461.26</v>
      </c>
      <c r="BL83" s="399">
        <v>27</v>
      </c>
      <c r="BM83" s="399"/>
      <c r="BN83" s="399"/>
      <c r="BO83" s="399"/>
      <c r="BP83" s="399"/>
      <c r="BQ83" s="399"/>
      <c r="BR83" s="399"/>
      <c r="BS83" s="399"/>
      <c r="BT83" s="399">
        <v>2256.6621699999996</v>
      </c>
      <c r="BU83" s="399"/>
      <c r="BV83" s="399">
        <v>1167.6750127898226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3386.2336</v>
      </c>
      <c r="CJ83" s="399">
        <v>-463.03256000000101</v>
      </c>
      <c r="CK83" s="399"/>
      <c r="CL83" s="399"/>
      <c r="CM83" s="399"/>
      <c r="CN83" s="399"/>
      <c r="CO83" s="399">
        <v>-773.69579000000078</v>
      </c>
      <c r="CP83" s="399">
        <v>0</v>
      </c>
      <c r="CQ83" s="399"/>
      <c r="CR83" s="399">
        <v>-6.3852588765234941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-4.8772768940505102</v>
      </c>
      <c r="DA83" s="399">
        <v>0</v>
      </c>
      <c r="DB83" s="399">
        <v>0</v>
      </c>
      <c r="DC83" s="399">
        <v>0</v>
      </c>
      <c r="DD83" s="399">
        <v>0</v>
      </c>
      <c r="DE83" s="399">
        <v>0</v>
      </c>
      <c r="DF83" s="399">
        <v>0</v>
      </c>
      <c r="DG83" s="399">
        <v>0</v>
      </c>
      <c r="DH83" s="399">
        <v>0</v>
      </c>
      <c r="DI83" s="399">
        <v>0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0</v>
      </c>
      <c r="DP83" s="399">
        <v>-1.5079819824727352</v>
      </c>
      <c r="DQ83" s="399">
        <v>0</v>
      </c>
      <c r="DR83" s="399">
        <v>0</v>
      </c>
      <c r="DS83" s="399"/>
      <c r="DT83" s="399"/>
      <c r="DU83" s="399"/>
      <c r="DV83" s="399">
        <v>4317.869715823279</v>
      </c>
      <c r="DW83" s="399">
        <v>0</v>
      </c>
      <c r="DX83" s="399">
        <v>0</v>
      </c>
      <c r="DY83" s="399">
        <v>-773.69579000000067</v>
      </c>
      <c r="DZ83" s="399">
        <v>0</v>
      </c>
      <c r="EA83" s="399">
        <v>0</v>
      </c>
      <c r="EB83" s="399">
        <v>0</v>
      </c>
      <c r="EC83" s="399">
        <v>-767.25940246107803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229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8" customFormat="1">
      <c r="A84" s="399">
        <v>82</v>
      </c>
      <c r="B84" s="399" t="s">
        <v>954</v>
      </c>
      <c r="C84" s="399" t="s">
        <v>2336</v>
      </c>
      <c r="D84" s="399" t="s">
        <v>1819</v>
      </c>
      <c r="E84" s="399" t="s">
        <v>887</v>
      </c>
      <c r="F84" s="399" t="s">
        <v>2342</v>
      </c>
      <c r="G84" s="399" t="s">
        <v>1237</v>
      </c>
      <c r="H84" s="399" t="s">
        <v>1237</v>
      </c>
      <c r="I84" s="399" t="s">
        <v>1237</v>
      </c>
      <c r="J84" s="399" t="s">
        <v>2337</v>
      </c>
      <c r="K84" s="788">
        <v>44531</v>
      </c>
      <c r="L84" s="399">
        <v>0</v>
      </c>
      <c r="M84" s="399">
        <v>0</v>
      </c>
      <c r="N84" s="399">
        <v>7.9729999999999999</v>
      </c>
      <c r="O84" s="399">
        <v>7.9729999999999999</v>
      </c>
      <c r="P84" s="399">
        <v>7.9729999999999999</v>
      </c>
      <c r="Q84" s="399">
        <v>7.9729999999999999</v>
      </c>
      <c r="R84" s="399"/>
      <c r="S84" s="399">
        <v>636.83000000000004</v>
      </c>
      <c r="T84" s="399">
        <v>119.97</v>
      </c>
      <c r="U84" s="399"/>
      <c r="V84" s="399">
        <v>6033.9664000000002</v>
      </c>
      <c r="W84" s="399">
        <v>6033.9664000000002</v>
      </c>
      <c r="X84" s="399">
        <v>5306.2706899999994</v>
      </c>
      <c r="Y84" s="399">
        <v>0</v>
      </c>
      <c r="Z84" s="399">
        <v>0</v>
      </c>
      <c r="AA84" s="399">
        <v>0</v>
      </c>
      <c r="AB84" s="399">
        <v>0</v>
      </c>
      <c r="AC84" s="399">
        <v>0</v>
      </c>
      <c r="AD84" s="399">
        <v>857.41012772511942</v>
      </c>
      <c r="AE84" s="399">
        <v>4061.1507896967087</v>
      </c>
      <c r="AF84" s="399">
        <v>956.55144683874664</v>
      </c>
      <c r="AG84" s="399">
        <v>0</v>
      </c>
      <c r="AH84" s="399">
        <v>0</v>
      </c>
      <c r="AI84" s="399">
        <v>0</v>
      </c>
      <c r="AJ84" s="399">
        <v>0</v>
      </c>
      <c r="AK84" s="399">
        <v>0</v>
      </c>
      <c r="AL84" s="399">
        <v>0</v>
      </c>
      <c r="AM84" s="399"/>
      <c r="AN84" s="399">
        <v>17.152304943372215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141.69945288677596</v>
      </c>
      <c r="BH84" s="399">
        <v>0</v>
      </c>
      <c r="BI84" s="399">
        <v>0</v>
      </c>
      <c r="BJ84" s="399">
        <v>0</v>
      </c>
      <c r="BK84" s="399">
        <v>1071.4000000000001</v>
      </c>
      <c r="BL84" s="399">
        <v>71</v>
      </c>
      <c r="BM84" s="399"/>
      <c r="BN84" s="399"/>
      <c r="BO84" s="399"/>
      <c r="BP84" s="399"/>
      <c r="BQ84" s="399"/>
      <c r="BR84" s="399"/>
      <c r="BS84" s="399"/>
      <c r="BT84" s="399">
        <v>530.52341999999965</v>
      </c>
      <c r="BU84" s="399"/>
      <c r="BV84" s="399">
        <v>1098.2508997255227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4773.9502999999995</v>
      </c>
      <c r="CJ84" s="399">
        <v>-656.64946000000054</v>
      </c>
      <c r="CK84" s="399"/>
      <c r="CL84" s="399"/>
      <c r="CM84" s="399"/>
      <c r="CN84" s="399"/>
      <c r="CO84" s="399">
        <v>-727.69571000000076</v>
      </c>
      <c r="CP84" s="399">
        <v>0</v>
      </c>
      <c r="CQ84" s="399"/>
      <c r="CR84" s="399">
        <v>-6.0056233363829961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-4.5872984164520858</v>
      </c>
      <c r="DA84" s="399">
        <v>0</v>
      </c>
      <c r="DB84" s="399">
        <v>0</v>
      </c>
      <c r="DC84" s="399">
        <v>0</v>
      </c>
      <c r="DD84" s="399">
        <v>0</v>
      </c>
      <c r="DE84" s="399">
        <v>0</v>
      </c>
      <c r="DF84" s="399">
        <v>0</v>
      </c>
      <c r="DG84" s="399">
        <v>0</v>
      </c>
      <c r="DH84" s="399">
        <v>0</v>
      </c>
      <c r="DI84" s="399">
        <v>0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0</v>
      </c>
      <c r="DP84" s="399">
        <v>-1.4183249199310026</v>
      </c>
      <c r="DQ84" s="399">
        <v>0</v>
      </c>
      <c r="DR84" s="399">
        <v>0</v>
      </c>
      <c r="DS84" s="399"/>
      <c r="DT84" s="399"/>
      <c r="DU84" s="399"/>
      <c r="DV84" s="399">
        <v>4061.1507896967087</v>
      </c>
      <c r="DW84" s="399">
        <v>0</v>
      </c>
      <c r="DX84" s="399">
        <v>0</v>
      </c>
      <c r="DY84" s="399">
        <v>-727.69571000000087</v>
      </c>
      <c r="DZ84" s="399">
        <v>0</v>
      </c>
      <c r="EA84" s="399">
        <v>0</v>
      </c>
      <c r="EB84" s="399">
        <v>0</v>
      </c>
      <c r="EC84" s="399">
        <v>-721.6419978556296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229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8" customFormat="1">
      <c r="A85" s="399">
        <v>83</v>
      </c>
      <c r="B85" s="399" t="s">
        <v>954</v>
      </c>
      <c r="C85" s="399" t="s">
        <v>2336</v>
      </c>
      <c r="D85" s="399" t="s">
        <v>1819</v>
      </c>
      <c r="E85" s="399" t="s">
        <v>887</v>
      </c>
      <c r="F85" s="399" t="s">
        <v>2343</v>
      </c>
      <c r="G85" s="399" t="s">
        <v>1237</v>
      </c>
      <c r="H85" s="399" t="s">
        <v>1237</v>
      </c>
      <c r="I85" s="399" t="s">
        <v>1237</v>
      </c>
      <c r="J85" s="399" t="s">
        <v>2337</v>
      </c>
      <c r="K85" s="788">
        <v>44531</v>
      </c>
      <c r="L85" s="399">
        <v>0</v>
      </c>
      <c r="M85" s="399">
        <v>0</v>
      </c>
      <c r="N85" s="399">
        <v>2.2970000000000002</v>
      </c>
      <c r="O85" s="399">
        <v>2.2970000000000002</v>
      </c>
      <c r="P85" s="399">
        <v>2.2970000000000002</v>
      </c>
      <c r="Q85" s="399">
        <v>2.2970000000000002</v>
      </c>
      <c r="R85" s="399"/>
      <c r="S85" s="399">
        <v>636.83000000000004</v>
      </c>
      <c r="T85" s="399">
        <v>119.97</v>
      </c>
      <c r="U85" s="399"/>
      <c r="V85" s="399">
        <v>1738.3696</v>
      </c>
      <c r="W85" s="399">
        <v>1738.3696</v>
      </c>
      <c r="X85" s="399">
        <v>1528.7224099999999</v>
      </c>
      <c r="Y85" s="399">
        <v>0</v>
      </c>
      <c r="Z85" s="399">
        <v>0</v>
      </c>
      <c r="AA85" s="399">
        <v>0</v>
      </c>
      <c r="AB85" s="399">
        <v>0</v>
      </c>
      <c r="AC85" s="399">
        <v>0</v>
      </c>
      <c r="AD85" s="399">
        <v>247.01756721241682</v>
      </c>
      <c r="AE85" s="399">
        <v>1170.0066930808152</v>
      </c>
      <c r="AF85" s="399">
        <v>275.57991639139613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0</v>
      </c>
      <c r="AM85" s="399"/>
      <c r="AN85" s="399">
        <v>4.9415332315221354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40.823233824272471</v>
      </c>
      <c r="BH85" s="399">
        <v>0</v>
      </c>
      <c r="BI85" s="399">
        <v>0</v>
      </c>
      <c r="BJ85" s="399">
        <v>0</v>
      </c>
      <c r="BK85" s="399">
        <v>509.39</v>
      </c>
      <c r="BL85" s="399">
        <v>34</v>
      </c>
      <c r="BM85" s="399"/>
      <c r="BN85" s="399"/>
      <c r="BO85" s="399"/>
      <c r="BP85" s="399"/>
      <c r="BQ85" s="399"/>
      <c r="BR85" s="399"/>
      <c r="BS85" s="399"/>
      <c r="BT85" s="399"/>
      <c r="BU85" s="399"/>
      <c r="BV85" s="399">
        <v>316.40315021566857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1530.7189999999998</v>
      </c>
      <c r="CJ85" s="399">
        <v>-207.68060000000014</v>
      </c>
      <c r="CK85" s="399"/>
      <c r="CL85" s="399"/>
      <c r="CM85" s="399"/>
      <c r="CN85" s="399"/>
      <c r="CO85" s="399">
        <v>-209.64719000000022</v>
      </c>
      <c r="CP85" s="399">
        <v>0</v>
      </c>
      <c r="CQ85" s="399"/>
      <c r="CR85" s="399">
        <v>-1.730204039090836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-1.3215884187370364</v>
      </c>
      <c r="DA85" s="399">
        <v>0</v>
      </c>
      <c r="DB85" s="399">
        <v>0</v>
      </c>
      <c r="DC85" s="399">
        <v>0</v>
      </c>
      <c r="DD85" s="399">
        <v>0</v>
      </c>
      <c r="DE85" s="399">
        <v>0</v>
      </c>
      <c r="DF85" s="399">
        <v>0</v>
      </c>
      <c r="DG85" s="399">
        <v>0</v>
      </c>
      <c r="DH85" s="399">
        <v>0</v>
      </c>
      <c r="DI85" s="399">
        <v>0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0</v>
      </c>
      <c r="DP85" s="399">
        <v>-0.40861562035388399</v>
      </c>
      <c r="DQ85" s="399">
        <v>0</v>
      </c>
      <c r="DR85" s="399">
        <v>0</v>
      </c>
      <c r="DS85" s="399"/>
      <c r="DT85" s="399"/>
      <c r="DU85" s="399"/>
      <c r="DV85" s="399">
        <v>1170.0066930808152</v>
      </c>
      <c r="DW85" s="399">
        <v>0</v>
      </c>
      <c r="DX85" s="399">
        <v>0</v>
      </c>
      <c r="DY85" s="399">
        <v>-209.64719000000014</v>
      </c>
      <c r="DZ85" s="399">
        <v>0</v>
      </c>
      <c r="EA85" s="399">
        <v>0</v>
      </c>
      <c r="EB85" s="399">
        <v>0</v>
      </c>
      <c r="EC85" s="399">
        <v>-207.90313170379784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229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8" customFormat="1">
      <c r="A86" s="399">
        <v>84</v>
      </c>
      <c r="B86" s="399" t="s">
        <v>954</v>
      </c>
      <c r="C86" s="399" t="s">
        <v>2336</v>
      </c>
      <c r="D86" s="399" t="s">
        <v>1822</v>
      </c>
      <c r="E86" s="399" t="s">
        <v>888</v>
      </c>
      <c r="F86" s="399" t="s">
        <v>1237</v>
      </c>
      <c r="G86" s="399" t="s">
        <v>1237</v>
      </c>
      <c r="H86" s="399" t="s">
        <v>1237</v>
      </c>
      <c r="I86" s="399" t="s">
        <v>1237</v>
      </c>
      <c r="J86" s="399" t="s">
        <v>2337</v>
      </c>
      <c r="K86" s="788">
        <v>44531</v>
      </c>
      <c r="L86" s="399">
        <v>0</v>
      </c>
      <c r="M86" s="399">
        <v>0</v>
      </c>
      <c r="N86" s="399">
        <v>118.005</v>
      </c>
      <c r="O86" s="399">
        <v>118.005</v>
      </c>
      <c r="P86" s="399">
        <v>118.005</v>
      </c>
      <c r="Q86" s="399">
        <v>118.005</v>
      </c>
      <c r="R86" s="399"/>
      <c r="S86" s="399">
        <v>707.13</v>
      </c>
      <c r="T86" s="399">
        <v>119.97</v>
      </c>
      <c r="U86" s="399"/>
      <c r="V86" s="399">
        <v>97601.935500000007</v>
      </c>
      <c r="W86" s="399">
        <v>97601.935500000007</v>
      </c>
      <c r="X86" s="399">
        <v>86029.18514999999</v>
      </c>
      <c r="Y86" s="399">
        <v>0</v>
      </c>
      <c r="Z86" s="399">
        <v>7185.900264616298</v>
      </c>
      <c r="AA86" s="399">
        <v>0</v>
      </c>
      <c r="AB86" s="399">
        <v>0</v>
      </c>
      <c r="AC86" s="399">
        <v>0</v>
      </c>
      <c r="AD86" s="399">
        <v>12690.164570701456</v>
      </c>
      <c r="AE86" s="399">
        <v>60107.374757075137</v>
      </c>
      <c r="AF86" s="399">
        <v>14157.513292889289</v>
      </c>
      <c r="AG86" s="399">
        <v>0</v>
      </c>
      <c r="AH86" s="399">
        <v>0</v>
      </c>
      <c r="AI86" s="399">
        <v>0</v>
      </c>
      <c r="AJ86" s="399">
        <v>0</v>
      </c>
      <c r="AK86" s="399">
        <v>0</v>
      </c>
      <c r="AL86" s="399">
        <v>1110.4537083746125</v>
      </c>
      <c r="AM86" s="399"/>
      <c r="AN86" s="399">
        <v>253.86400913616436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2097.2336558264137</v>
      </c>
      <c r="BH86" s="399">
        <v>0</v>
      </c>
      <c r="BI86" s="399">
        <v>0</v>
      </c>
      <c r="BJ86" s="399">
        <v>0</v>
      </c>
      <c r="BK86" s="399">
        <v>34261.49</v>
      </c>
      <c r="BL86" s="399">
        <v>65</v>
      </c>
      <c r="BM86" s="399"/>
      <c r="BN86" s="399"/>
      <c r="BO86" s="399"/>
      <c r="BP86" s="399"/>
      <c r="BQ86" s="399"/>
      <c r="BR86" s="399"/>
      <c r="BS86" s="399"/>
      <c r="BT86" s="399"/>
      <c r="BU86" s="399"/>
      <c r="BV86" s="399">
        <v>16254.746948715703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86032.830300000001</v>
      </c>
      <c r="CJ86" s="399">
        <v>-11569.13519999999</v>
      </c>
      <c r="CK86" s="399"/>
      <c r="CL86" s="399"/>
      <c r="CM86" s="399"/>
      <c r="CN86" s="399"/>
      <c r="CO86" s="399">
        <v>-11572.750350000006</v>
      </c>
      <c r="CP86" s="399">
        <v>0</v>
      </c>
      <c r="CQ86" s="399"/>
      <c r="CR86" s="399">
        <v>-891.91999793702416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-67.894663192451844</v>
      </c>
      <c r="DA86" s="399">
        <v>0</v>
      </c>
      <c r="DB86" s="399">
        <v>0</v>
      </c>
      <c r="DC86" s="399">
        <v>0</v>
      </c>
      <c r="DD86" s="399">
        <v>0</v>
      </c>
      <c r="DE86" s="399">
        <v>0</v>
      </c>
      <c r="DF86" s="399">
        <v>0</v>
      </c>
      <c r="DG86" s="399">
        <v>0</v>
      </c>
      <c r="DH86" s="399">
        <v>0</v>
      </c>
      <c r="DI86" s="399">
        <v>-708.40232538040982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-94.630982250589454</v>
      </c>
      <c r="DP86" s="399">
        <v>-20.992027113565541</v>
      </c>
      <c r="DQ86" s="399">
        <v>0</v>
      </c>
      <c r="DR86" s="399">
        <v>0</v>
      </c>
      <c r="DS86" s="399"/>
      <c r="DT86" s="399"/>
      <c r="DU86" s="399"/>
      <c r="DV86" s="399">
        <v>60107.374757075137</v>
      </c>
      <c r="DW86" s="399">
        <v>0</v>
      </c>
      <c r="DX86" s="399">
        <v>0</v>
      </c>
      <c r="DY86" s="399">
        <v>-11572.750350000017</v>
      </c>
      <c r="DZ86" s="399">
        <v>0</v>
      </c>
      <c r="EA86" s="399">
        <v>0</v>
      </c>
      <c r="EB86" s="399">
        <v>0</v>
      </c>
      <c r="EC86" s="399">
        <v>-10680.717917591057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0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229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8" customFormat="1">
      <c r="A87" s="399">
        <v>85</v>
      </c>
      <c r="B87" s="399" t="s">
        <v>2339</v>
      </c>
      <c r="C87" s="399" t="s">
        <v>2336</v>
      </c>
      <c r="D87" s="399" t="s">
        <v>1822</v>
      </c>
      <c r="E87" s="399" t="s">
        <v>888</v>
      </c>
      <c r="F87" s="399" t="s">
        <v>1237</v>
      </c>
      <c r="G87" s="399" t="s">
        <v>1237</v>
      </c>
      <c r="H87" s="399" t="s">
        <v>1237</v>
      </c>
      <c r="I87" s="399" t="s">
        <v>1237</v>
      </c>
      <c r="J87" s="399" t="s">
        <v>2337</v>
      </c>
      <c r="K87" s="788">
        <v>44531</v>
      </c>
      <c r="L87" s="399">
        <v>0</v>
      </c>
      <c r="M87" s="399">
        <v>0</v>
      </c>
      <c r="N87" s="399">
        <v>0.2</v>
      </c>
      <c r="O87" s="399">
        <v>0.2</v>
      </c>
      <c r="P87" s="399">
        <v>0.2</v>
      </c>
      <c r="Q87" s="399">
        <v>0.2</v>
      </c>
      <c r="R87" s="399"/>
      <c r="S87" s="399">
        <v>707.13</v>
      </c>
      <c r="T87" s="399">
        <v>119.97</v>
      </c>
      <c r="U87" s="399"/>
      <c r="V87" s="399">
        <v>165.42000000000002</v>
      </c>
      <c r="W87" s="399">
        <v>165.42000000000002</v>
      </c>
      <c r="X87" s="399">
        <v>145.80599999999998</v>
      </c>
      <c r="Y87" s="399">
        <v>0</v>
      </c>
      <c r="Z87" s="399">
        <v>12.17897591562442</v>
      </c>
      <c r="AA87" s="399">
        <v>0</v>
      </c>
      <c r="AB87" s="399">
        <v>0</v>
      </c>
      <c r="AC87" s="399">
        <v>0</v>
      </c>
      <c r="AD87" s="399">
        <v>21.507842160419401</v>
      </c>
      <c r="AE87" s="399">
        <v>101.8725897327658</v>
      </c>
      <c r="AF87" s="399">
        <v>23.9947685147058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1.8820451817713022</v>
      </c>
      <c r="AM87" s="399"/>
      <c r="AN87" s="399">
        <v>0.43025975024137009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3.5544827012862399</v>
      </c>
      <c r="BH87" s="399">
        <v>0</v>
      </c>
      <c r="BI87" s="399">
        <v>0</v>
      </c>
      <c r="BJ87" s="399">
        <v>0</v>
      </c>
      <c r="BK87" s="399">
        <v>601.66</v>
      </c>
      <c r="BL87" s="399">
        <v>2</v>
      </c>
      <c r="BM87" s="399"/>
      <c r="BN87" s="399"/>
      <c r="BO87" s="399"/>
      <c r="BP87" s="399"/>
      <c r="BQ87" s="399"/>
      <c r="BR87" s="399"/>
      <c r="BS87" s="399"/>
      <c r="BT87" s="399"/>
      <c r="BU87" s="399"/>
      <c r="BV87" s="399">
        <v>27.54925121599204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145.80599999999998</v>
      </c>
      <c r="CJ87" s="399">
        <v>-19.644000000000005</v>
      </c>
      <c r="CK87" s="399"/>
      <c r="CL87" s="399"/>
      <c r="CM87" s="399"/>
      <c r="CN87" s="399"/>
      <c r="CO87" s="399">
        <v>-19.614000000000011</v>
      </c>
      <c r="CP87" s="399">
        <v>0</v>
      </c>
      <c r="CQ87" s="399"/>
      <c r="CR87" s="399">
        <v>-1.5116647564713617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-0.1150708244437979</v>
      </c>
      <c r="DA87" s="399">
        <v>0</v>
      </c>
      <c r="DB87" s="399">
        <v>0</v>
      </c>
      <c r="DC87" s="399">
        <v>0</v>
      </c>
      <c r="DD87" s="399">
        <v>0</v>
      </c>
      <c r="DE87" s="399">
        <v>0</v>
      </c>
      <c r="DF87" s="399">
        <v>0</v>
      </c>
      <c r="DG87" s="399">
        <v>0</v>
      </c>
      <c r="DH87" s="399">
        <v>0</v>
      </c>
      <c r="DI87" s="399">
        <v>-1.2006310332280989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-0.16038469937814415</v>
      </c>
      <c r="DP87" s="399">
        <v>-3.5578199421322065E-2</v>
      </c>
      <c r="DQ87" s="399">
        <v>0</v>
      </c>
      <c r="DR87" s="399">
        <v>0</v>
      </c>
      <c r="DS87" s="399"/>
      <c r="DT87" s="399"/>
      <c r="DU87" s="399"/>
      <c r="DV87" s="399">
        <v>101.8725897327658</v>
      </c>
      <c r="DW87" s="399">
        <v>0</v>
      </c>
      <c r="DX87" s="399">
        <v>0</v>
      </c>
      <c r="DY87" s="399">
        <v>-19.614000000000019</v>
      </c>
      <c r="DZ87" s="399">
        <v>0</v>
      </c>
      <c r="EA87" s="399">
        <v>0</v>
      </c>
      <c r="EB87" s="399">
        <v>0</v>
      </c>
      <c r="EC87" s="399">
        <v>-18.102144684701599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229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8" customFormat="1">
      <c r="A88" s="399">
        <v>86</v>
      </c>
      <c r="B88" s="399" t="s">
        <v>954</v>
      </c>
      <c r="C88" s="399" t="s">
        <v>2344</v>
      </c>
      <c r="D88" s="399" t="s">
        <v>533</v>
      </c>
      <c r="E88" s="399" t="s">
        <v>888</v>
      </c>
      <c r="F88" s="399" t="s">
        <v>1237</v>
      </c>
      <c r="G88" s="399" t="s">
        <v>1237</v>
      </c>
      <c r="H88" s="399" t="s">
        <v>1237</v>
      </c>
      <c r="I88" s="399" t="s">
        <v>891</v>
      </c>
      <c r="J88" s="399" t="s">
        <v>2337</v>
      </c>
      <c r="K88" s="788">
        <v>44531</v>
      </c>
      <c r="L88" s="399">
        <v>0</v>
      </c>
      <c r="M88" s="399">
        <v>0</v>
      </c>
      <c r="N88" s="399">
        <v>92.667000000000002</v>
      </c>
      <c r="O88" s="399">
        <v>92.667000000000002</v>
      </c>
      <c r="P88" s="399">
        <v>92.667000000000002</v>
      </c>
      <c r="Q88" s="399">
        <v>92.667000000000002</v>
      </c>
      <c r="R88" s="399"/>
      <c r="S88" s="399">
        <v>3312.96</v>
      </c>
      <c r="T88" s="399">
        <v>119.97</v>
      </c>
      <c r="U88" s="399"/>
      <c r="V88" s="399">
        <v>318119.32431</v>
      </c>
      <c r="W88" s="399">
        <v>318119.32431</v>
      </c>
      <c r="X88" s="399">
        <v>276130.05327000003</v>
      </c>
      <c r="Y88" s="399">
        <v>0</v>
      </c>
      <c r="Z88" s="399">
        <v>4909.3628511032784</v>
      </c>
      <c r="AA88" s="399">
        <v>0</v>
      </c>
      <c r="AB88" s="399">
        <v>0</v>
      </c>
      <c r="AC88" s="399">
        <v>0</v>
      </c>
      <c r="AD88" s="399">
        <v>69281.463629124031</v>
      </c>
      <c r="AE88" s="399">
        <v>231036.51286976162</v>
      </c>
      <c r="AF88" s="399">
        <v>11117.616069761212</v>
      </c>
      <c r="AG88" s="399">
        <v>0</v>
      </c>
      <c r="AH88" s="399">
        <v>0</v>
      </c>
      <c r="AI88" s="399">
        <v>0</v>
      </c>
      <c r="AJ88" s="399">
        <v>0</v>
      </c>
      <c r="AK88" s="399">
        <v>0</v>
      </c>
      <c r="AL88" s="399">
        <v>872.01740429600625</v>
      </c>
      <c r="AM88" s="399"/>
      <c r="AN88" s="399">
        <v>77.90811155390162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825.09282747095165</v>
      </c>
      <c r="BH88" s="399">
        <v>0</v>
      </c>
      <c r="BI88" s="399">
        <v>0</v>
      </c>
      <c r="BJ88" s="399">
        <v>0</v>
      </c>
      <c r="BK88" s="399">
        <v>0</v>
      </c>
      <c r="BL88" s="399">
        <v>0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>
        <v>11942.708897232164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276138.9927</v>
      </c>
      <c r="CJ88" s="399">
        <v>-41980.361610000022</v>
      </c>
      <c r="CK88" s="399"/>
      <c r="CL88" s="399"/>
      <c r="CM88" s="399"/>
      <c r="CN88" s="399"/>
      <c r="CO88" s="399">
        <v>-41989.271039999992</v>
      </c>
      <c r="CP88" s="399">
        <v>0</v>
      </c>
      <c r="CQ88" s="399"/>
      <c r="CR88" s="399">
        <v>-935.39847352608922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-370.66829294261697</v>
      </c>
      <c r="DA88" s="399">
        <v>0</v>
      </c>
      <c r="DB88" s="399">
        <v>0</v>
      </c>
      <c r="DC88" s="399">
        <v>0</v>
      </c>
      <c r="DD88" s="399">
        <v>0</v>
      </c>
      <c r="DE88" s="399">
        <v>0</v>
      </c>
      <c r="DF88" s="399">
        <v>0</v>
      </c>
      <c r="DG88" s="399">
        <v>0</v>
      </c>
      <c r="DH88" s="399">
        <v>0</v>
      </c>
      <c r="DI88" s="399">
        <v>-483.9761104092413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-74.31184468637241</v>
      </c>
      <c r="DP88" s="399">
        <v>-6.4422254878554384</v>
      </c>
      <c r="DQ88" s="399">
        <v>0</v>
      </c>
      <c r="DR88" s="399">
        <v>0</v>
      </c>
      <c r="DS88" s="399"/>
      <c r="DT88" s="399"/>
      <c r="DU88" s="399"/>
      <c r="DV88" s="399">
        <v>231036.51286976162</v>
      </c>
      <c r="DW88" s="399">
        <v>0</v>
      </c>
      <c r="DX88" s="399">
        <v>0</v>
      </c>
      <c r="DY88" s="399">
        <v>-41989.271039999963</v>
      </c>
      <c r="DZ88" s="399">
        <v>0</v>
      </c>
      <c r="EA88" s="399">
        <v>0</v>
      </c>
      <c r="EB88" s="399">
        <v>0</v>
      </c>
      <c r="EC88" s="399">
        <v>-41053.794689899398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229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8" customFormat="1">
      <c r="A89" s="399">
        <v>87</v>
      </c>
      <c r="B89" s="399" t="s">
        <v>2339</v>
      </c>
      <c r="C89" s="399" t="s">
        <v>2344</v>
      </c>
      <c r="D89" s="399" t="s">
        <v>533</v>
      </c>
      <c r="E89" s="399" t="s">
        <v>888</v>
      </c>
      <c r="F89" s="399" t="s">
        <v>1237</v>
      </c>
      <c r="G89" s="399" t="s">
        <v>1237</v>
      </c>
      <c r="H89" s="399" t="s">
        <v>1237</v>
      </c>
      <c r="I89" s="399" t="s">
        <v>891</v>
      </c>
      <c r="J89" s="399" t="s">
        <v>2337</v>
      </c>
      <c r="K89" s="788">
        <v>44531</v>
      </c>
      <c r="L89" s="399">
        <v>0</v>
      </c>
      <c r="M89" s="399">
        <v>0</v>
      </c>
      <c r="N89" s="399">
        <v>1.762</v>
      </c>
      <c r="O89" s="399">
        <v>1.762</v>
      </c>
      <c r="P89" s="399">
        <v>1.762</v>
      </c>
      <c r="Q89" s="399">
        <v>1.762</v>
      </c>
      <c r="R89" s="399"/>
      <c r="S89" s="399">
        <v>3312.96</v>
      </c>
      <c r="T89" s="399">
        <v>119.97</v>
      </c>
      <c r="U89" s="399"/>
      <c r="V89" s="399">
        <v>6048.8226599999998</v>
      </c>
      <c r="W89" s="399">
        <v>6048.8226599999998</v>
      </c>
      <c r="X89" s="399">
        <v>5250.4252200000001</v>
      </c>
      <c r="Y89" s="399">
        <v>0</v>
      </c>
      <c r="Z89" s="399">
        <v>93.34819670048644</v>
      </c>
      <c r="AA89" s="399">
        <v>0</v>
      </c>
      <c r="AB89" s="399">
        <v>0</v>
      </c>
      <c r="AC89" s="399">
        <v>0</v>
      </c>
      <c r="AD89" s="399">
        <v>1317.3399259123155</v>
      </c>
      <c r="AE89" s="399">
        <v>4393.0022087314792</v>
      </c>
      <c r="AF89" s="399">
        <v>211.39391061455811</v>
      </c>
      <c r="AG89" s="399">
        <v>0</v>
      </c>
      <c r="AH89" s="399">
        <v>0</v>
      </c>
      <c r="AI89" s="399">
        <v>0</v>
      </c>
      <c r="AJ89" s="399">
        <v>0</v>
      </c>
      <c r="AK89" s="399">
        <v>0</v>
      </c>
      <c r="AL89" s="399">
        <v>16.580818051405171</v>
      </c>
      <c r="AM89" s="399"/>
      <c r="AN89" s="399">
        <v>1.4813697708782485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15.6885791274544</v>
      </c>
      <c r="BH89" s="399">
        <v>0</v>
      </c>
      <c r="BI89" s="399">
        <v>0</v>
      </c>
      <c r="BJ89" s="399">
        <v>0</v>
      </c>
      <c r="BK89" s="399">
        <v>0</v>
      </c>
      <c r="BL89" s="399">
        <v>0</v>
      </c>
      <c r="BM89" s="399"/>
      <c r="BN89" s="399"/>
      <c r="BO89" s="399"/>
      <c r="BP89" s="399"/>
      <c r="BQ89" s="399"/>
      <c r="BR89" s="399"/>
      <c r="BS89" s="399"/>
      <c r="BT89" s="399"/>
      <c r="BU89" s="399"/>
      <c r="BV89" s="399">
        <v>227.08248974201251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5244.4656000000004</v>
      </c>
      <c r="CJ89" s="399">
        <v>-804.38706000000002</v>
      </c>
      <c r="CK89" s="399"/>
      <c r="CL89" s="399"/>
      <c r="CM89" s="399"/>
      <c r="CN89" s="399"/>
      <c r="CO89" s="399">
        <v>-798.39743999999985</v>
      </c>
      <c r="CP89" s="399">
        <v>0</v>
      </c>
      <c r="CQ89" s="399"/>
      <c r="CR89" s="399">
        <v>-17.785965989543001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-7.0480055701048059</v>
      </c>
      <c r="DA89" s="399">
        <v>0</v>
      </c>
      <c r="DB89" s="399">
        <v>0</v>
      </c>
      <c r="DC89" s="399">
        <v>0</v>
      </c>
      <c r="DD89" s="399">
        <v>0</v>
      </c>
      <c r="DE89" s="399">
        <v>0</v>
      </c>
      <c r="DF89" s="399">
        <v>0</v>
      </c>
      <c r="DG89" s="399">
        <v>0</v>
      </c>
      <c r="DH89" s="399">
        <v>0</v>
      </c>
      <c r="DI89" s="399">
        <v>-9.2024766803833558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-1.4129892015214498</v>
      </c>
      <c r="DP89" s="399">
        <v>-0.12249453753333217</v>
      </c>
      <c r="DQ89" s="399">
        <v>0</v>
      </c>
      <c r="DR89" s="399">
        <v>0</v>
      </c>
      <c r="DS89" s="399"/>
      <c r="DT89" s="399"/>
      <c r="DU89" s="399"/>
      <c r="DV89" s="399">
        <v>4393.0022087314792</v>
      </c>
      <c r="DW89" s="399">
        <v>0</v>
      </c>
      <c r="DX89" s="399">
        <v>0</v>
      </c>
      <c r="DY89" s="399">
        <v>-798.39743999999973</v>
      </c>
      <c r="DZ89" s="399">
        <v>0</v>
      </c>
      <c r="EA89" s="399">
        <v>0</v>
      </c>
      <c r="EB89" s="399">
        <v>0</v>
      </c>
      <c r="EC89" s="399">
        <v>-780.60999324034219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0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229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8" customFormat="1">
      <c r="A90" s="399">
        <v>88</v>
      </c>
      <c r="B90" s="399" t="s">
        <v>954</v>
      </c>
      <c r="C90" s="399" t="s">
        <v>2344</v>
      </c>
      <c r="D90" s="399" t="s">
        <v>533</v>
      </c>
      <c r="E90" s="399" t="s">
        <v>888</v>
      </c>
      <c r="F90" s="399" t="s">
        <v>1237</v>
      </c>
      <c r="G90" s="399" t="s">
        <v>1237</v>
      </c>
      <c r="H90" s="399" t="s">
        <v>1237</v>
      </c>
      <c r="I90" s="399" t="s">
        <v>2322</v>
      </c>
      <c r="J90" s="399" t="s">
        <v>2337</v>
      </c>
      <c r="K90" s="788">
        <v>44531</v>
      </c>
      <c r="L90" s="399">
        <v>0</v>
      </c>
      <c r="M90" s="399">
        <v>0</v>
      </c>
      <c r="N90" s="399">
        <v>2118.2919999999999</v>
      </c>
      <c r="O90" s="399">
        <v>2118.2919999999999</v>
      </c>
      <c r="P90" s="399">
        <v>2118.2919999999999</v>
      </c>
      <c r="Q90" s="399">
        <v>2118.2919999999999</v>
      </c>
      <c r="R90" s="399"/>
      <c r="S90" s="399">
        <v>72.13</v>
      </c>
      <c r="T90" s="399">
        <v>119.97</v>
      </c>
      <c r="U90" s="399"/>
      <c r="V90" s="399">
        <v>406923.89319999993</v>
      </c>
      <c r="W90" s="399">
        <v>406923.89319999993</v>
      </c>
      <c r="X90" s="399">
        <v>394023.49491999997</v>
      </c>
      <c r="Y90" s="399">
        <v>0</v>
      </c>
      <c r="Z90" s="399">
        <v>112224.02853863043</v>
      </c>
      <c r="AA90" s="399">
        <v>0</v>
      </c>
      <c r="AB90" s="399">
        <v>0</v>
      </c>
      <c r="AC90" s="399">
        <v>0</v>
      </c>
      <c r="AD90" s="399">
        <v>0</v>
      </c>
      <c r="AE90" s="399">
        <v>0</v>
      </c>
      <c r="AF90" s="399">
        <v>254139.63093276587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19933.606260923476</v>
      </c>
      <c r="AM90" s="399"/>
      <c r="AN90" s="399">
        <v>1780.915853968914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18860.948727045194</v>
      </c>
      <c r="BH90" s="399">
        <v>0</v>
      </c>
      <c r="BI90" s="399">
        <v>0</v>
      </c>
      <c r="BJ90" s="399">
        <v>0</v>
      </c>
      <c r="BK90" s="399">
        <v>0</v>
      </c>
      <c r="BL90" s="399">
        <v>0</v>
      </c>
      <c r="BM90" s="399"/>
      <c r="BN90" s="399"/>
      <c r="BO90" s="399"/>
      <c r="BP90" s="399"/>
      <c r="BQ90" s="399"/>
      <c r="BR90" s="399"/>
      <c r="BS90" s="399"/>
      <c r="BT90" s="399"/>
      <c r="BU90" s="399"/>
      <c r="BV90" s="399">
        <v>273000.57965981105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394023.12290000002</v>
      </c>
      <c r="CJ90" s="399">
        <v>-12900.800299999944</v>
      </c>
      <c r="CK90" s="399"/>
      <c r="CL90" s="399"/>
      <c r="CM90" s="399"/>
      <c r="CN90" s="399"/>
      <c r="CO90" s="399">
        <v>-12900.398279999976</v>
      </c>
      <c r="CP90" s="399">
        <v>0</v>
      </c>
      <c r="CQ90" s="399"/>
      <c r="CR90" s="399">
        <v>-12909.271085591638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0</v>
      </c>
      <c r="DA90" s="399">
        <v>0</v>
      </c>
      <c r="DB90" s="399">
        <v>0</v>
      </c>
      <c r="DC90" s="399">
        <v>0</v>
      </c>
      <c r="DD90" s="399">
        <v>0</v>
      </c>
      <c r="DE90" s="399">
        <v>0</v>
      </c>
      <c r="DF90" s="399">
        <v>0</v>
      </c>
      <c r="DG90" s="399">
        <v>0</v>
      </c>
      <c r="DH90" s="399">
        <v>0</v>
      </c>
      <c r="DI90" s="399">
        <v>-11063.298939978777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-1698.7081280756393</v>
      </c>
      <c r="DP90" s="399">
        <v>-147.26401753720597</v>
      </c>
      <c r="DQ90" s="399">
        <v>0</v>
      </c>
      <c r="DR90" s="399">
        <v>0</v>
      </c>
      <c r="DS90" s="399"/>
      <c r="DT90" s="399"/>
      <c r="DU90" s="399"/>
      <c r="DV90" s="399">
        <v>0</v>
      </c>
      <c r="DW90" s="399">
        <v>0</v>
      </c>
      <c r="DX90" s="399">
        <v>0</v>
      </c>
      <c r="DY90" s="399">
        <v>-12900.398279999994</v>
      </c>
      <c r="DZ90" s="399">
        <v>0</v>
      </c>
      <c r="EA90" s="399">
        <v>0</v>
      </c>
      <c r="EB90" s="399">
        <v>0</v>
      </c>
      <c r="EC90" s="399">
        <v>0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229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8" customFormat="1">
      <c r="A91" s="399">
        <v>89</v>
      </c>
      <c r="B91" s="399" t="s">
        <v>2339</v>
      </c>
      <c r="C91" s="399" t="s">
        <v>2344</v>
      </c>
      <c r="D91" s="399" t="s">
        <v>533</v>
      </c>
      <c r="E91" s="399" t="s">
        <v>888</v>
      </c>
      <c r="F91" s="399" t="s">
        <v>1237</v>
      </c>
      <c r="G91" s="399" t="s">
        <v>1237</v>
      </c>
      <c r="H91" s="399" t="s">
        <v>1237</v>
      </c>
      <c r="I91" s="399" t="s">
        <v>2322</v>
      </c>
      <c r="J91" s="399" t="s">
        <v>2337</v>
      </c>
      <c r="K91" s="788">
        <v>44531</v>
      </c>
      <c r="L91" s="399">
        <v>0</v>
      </c>
      <c r="M91" s="399">
        <v>0</v>
      </c>
      <c r="N91" s="399">
        <v>4.9939999999999998</v>
      </c>
      <c r="O91" s="399">
        <v>4.9939999999999998</v>
      </c>
      <c r="P91" s="399">
        <v>4.9939999999999998</v>
      </c>
      <c r="Q91" s="399">
        <v>4.9939999999999998</v>
      </c>
      <c r="R91" s="399"/>
      <c r="S91" s="399">
        <v>72.13</v>
      </c>
      <c r="T91" s="399">
        <v>119.97</v>
      </c>
      <c r="U91" s="399"/>
      <c r="V91" s="399">
        <v>959.34739999999988</v>
      </c>
      <c r="W91" s="399">
        <v>959.34739999999988</v>
      </c>
      <c r="X91" s="399">
        <v>928.93394000000001</v>
      </c>
      <c r="Y91" s="399">
        <v>0</v>
      </c>
      <c r="Z91" s="399">
        <v>264.57485489343316</v>
      </c>
      <c r="AA91" s="399">
        <v>0</v>
      </c>
      <c r="AB91" s="399">
        <v>0</v>
      </c>
      <c r="AC91" s="399">
        <v>0</v>
      </c>
      <c r="AD91" s="399">
        <v>0</v>
      </c>
      <c r="AE91" s="399">
        <v>0</v>
      </c>
      <c r="AF91" s="399">
        <v>599.14936981220376</v>
      </c>
      <c r="AG91" s="399">
        <v>0</v>
      </c>
      <c r="AH91" s="399">
        <v>0</v>
      </c>
      <c r="AI91" s="399">
        <v>0</v>
      </c>
      <c r="AJ91" s="399">
        <v>0</v>
      </c>
      <c r="AK91" s="399">
        <v>0</v>
      </c>
      <c r="AL91" s="399">
        <v>46.994668188829415</v>
      </c>
      <c r="AM91" s="399"/>
      <c r="AN91" s="399">
        <v>4.1986155708092925</v>
      </c>
      <c r="AO91" s="399">
        <v>0</v>
      </c>
      <c r="AP91" s="399">
        <v>0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44.465813940128982</v>
      </c>
      <c r="BH91" s="399">
        <v>0</v>
      </c>
      <c r="BI91" s="399">
        <v>0</v>
      </c>
      <c r="BJ91" s="399">
        <v>0</v>
      </c>
      <c r="BK91" s="399">
        <v>0</v>
      </c>
      <c r="BL91" s="399">
        <v>0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>
        <v>643.61518375233277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928.18990000000008</v>
      </c>
      <c r="CJ91" s="399">
        <v>-31.187499999999773</v>
      </c>
      <c r="CK91" s="399"/>
      <c r="CL91" s="399"/>
      <c r="CM91" s="399"/>
      <c r="CN91" s="399"/>
      <c r="CO91" s="399">
        <v>-30.413459999999944</v>
      </c>
      <c r="CP91" s="399">
        <v>0</v>
      </c>
      <c r="CQ91" s="399"/>
      <c r="CR91" s="399">
        <v>-30.434378169508477</v>
      </c>
      <c r="CS91" s="399">
        <v>0</v>
      </c>
      <c r="CT91" s="399">
        <v>0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0</v>
      </c>
      <c r="DA91" s="399">
        <v>0</v>
      </c>
      <c r="DB91" s="399">
        <v>0</v>
      </c>
      <c r="DC91" s="399">
        <v>0</v>
      </c>
      <c r="DD91" s="399">
        <v>0</v>
      </c>
      <c r="DE91" s="399">
        <v>0</v>
      </c>
      <c r="DF91" s="399">
        <v>0</v>
      </c>
      <c r="DG91" s="399">
        <v>0</v>
      </c>
      <c r="DH91" s="399">
        <v>0</v>
      </c>
      <c r="DI91" s="399">
        <v>-26.082388502743697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-4.0048059434722632</v>
      </c>
      <c r="DP91" s="399">
        <v>-0.34718372329254343</v>
      </c>
      <c r="DQ91" s="399">
        <v>0</v>
      </c>
      <c r="DR91" s="399">
        <v>0</v>
      </c>
      <c r="DS91" s="399"/>
      <c r="DT91" s="399"/>
      <c r="DU91" s="399"/>
      <c r="DV91" s="399">
        <v>0</v>
      </c>
      <c r="DW91" s="399">
        <v>0</v>
      </c>
      <c r="DX91" s="399">
        <v>0</v>
      </c>
      <c r="DY91" s="399">
        <v>-30.41345999999993</v>
      </c>
      <c r="DZ91" s="399">
        <v>0</v>
      </c>
      <c r="EA91" s="399">
        <v>0</v>
      </c>
      <c r="EB91" s="399">
        <v>0</v>
      </c>
      <c r="EC91" s="399">
        <v>0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0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229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8" customFormat="1">
      <c r="A92" s="399">
        <v>90</v>
      </c>
      <c r="B92" s="399" t="s">
        <v>954</v>
      </c>
      <c r="C92" s="399" t="s">
        <v>2344</v>
      </c>
      <c r="D92" s="399" t="s">
        <v>533</v>
      </c>
      <c r="E92" s="399" t="s">
        <v>888</v>
      </c>
      <c r="F92" s="399" t="s">
        <v>1237</v>
      </c>
      <c r="G92" s="399" t="s">
        <v>1237</v>
      </c>
      <c r="H92" s="399" t="s">
        <v>1237</v>
      </c>
      <c r="I92" s="399" t="s">
        <v>1237</v>
      </c>
      <c r="J92" s="399" t="s">
        <v>2337</v>
      </c>
      <c r="K92" s="788">
        <v>44531</v>
      </c>
      <c r="L92" s="399">
        <v>10745</v>
      </c>
      <c r="M92" s="399">
        <v>10745</v>
      </c>
      <c r="N92" s="399">
        <v>0</v>
      </c>
      <c r="O92" s="399">
        <v>0</v>
      </c>
      <c r="P92" s="399">
        <v>0</v>
      </c>
      <c r="Q92" s="399">
        <v>0</v>
      </c>
      <c r="R92" s="399">
        <v>46.29</v>
      </c>
      <c r="S92" s="399"/>
      <c r="T92" s="399"/>
      <c r="U92" s="399">
        <v>497386.05</v>
      </c>
      <c r="V92" s="399"/>
      <c r="W92" s="399">
        <v>497386.05</v>
      </c>
      <c r="X92" s="399">
        <v>442156.75</v>
      </c>
      <c r="Y92" s="399">
        <v>0</v>
      </c>
      <c r="Z92" s="399">
        <v>0</v>
      </c>
      <c r="AA92" s="399">
        <v>0</v>
      </c>
      <c r="AB92" s="399">
        <v>0</v>
      </c>
      <c r="AC92" s="399">
        <v>0</v>
      </c>
      <c r="AD92" s="399">
        <v>192475.31795342837</v>
      </c>
      <c r="AE92" s="399">
        <v>304872.4871842924</v>
      </c>
      <c r="AF92" s="399"/>
      <c r="AG92" s="399"/>
      <c r="AH92" s="399"/>
      <c r="AI92" s="399">
        <v>0</v>
      </c>
      <c r="AJ92" s="399">
        <v>0</v>
      </c>
      <c r="AK92" s="399">
        <v>0</v>
      </c>
      <c r="AL92" s="399">
        <v>0</v>
      </c>
      <c r="AM92" s="399"/>
      <c r="AN92" s="399">
        <v>0</v>
      </c>
      <c r="AO92" s="399">
        <v>0</v>
      </c>
      <c r="AP92" s="399">
        <v>0</v>
      </c>
      <c r="AQ92" s="399">
        <v>0</v>
      </c>
      <c r="AR92" s="399">
        <v>0</v>
      </c>
      <c r="AS92" s="399"/>
      <c r="AT92" s="399"/>
      <c r="AU92" s="399">
        <v>0</v>
      </c>
      <c r="AV92" s="399">
        <v>0</v>
      </c>
      <c r="AW92" s="399">
        <v>0</v>
      </c>
      <c r="AX92" s="399"/>
      <c r="AY92" s="399"/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/>
      <c r="BG92" s="399">
        <v>0</v>
      </c>
      <c r="BH92" s="399">
        <v>0</v>
      </c>
      <c r="BI92" s="399">
        <v>0</v>
      </c>
      <c r="BJ92" s="399">
        <v>0</v>
      </c>
      <c r="BK92" s="399">
        <v>458495.43</v>
      </c>
      <c r="BL92" s="399">
        <v>26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0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442156.75</v>
      </c>
      <c r="CJ92" s="399">
        <v>-55229.330000000016</v>
      </c>
      <c r="CK92" s="399"/>
      <c r="CL92" s="399"/>
      <c r="CM92" s="399"/>
      <c r="CN92" s="399"/>
      <c r="CO92" s="399">
        <v>-55229.3</v>
      </c>
      <c r="CP92" s="399">
        <v>0</v>
      </c>
      <c r="CQ92" s="399"/>
      <c r="CR92" s="399">
        <v>-1029.7775740034413</v>
      </c>
      <c r="CS92" s="399">
        <v>0</v>
      </c>
      <c r="CT92" s="399">
        <v>0</v>
      </c>
      <c r="CU92" s="399">
        <v>0</v>
      </c>
      <c r="CV92" s="399">
        <v>0</v>
      </c>
      <c r="CW92" s="399"/>
      <c r="CX92" s="399"/>
      <c r="CY92" s="399"/>
      <c r="CZ92" s="399">
        <v>-1029.7775740034413</v>
      </c>
      <c r="DA92" s="399">
        <v>0</v>
      </c>
      <c r="DB92" s="399">
        <v>0</v>
      </c>
      <c r="DC92" s="399"/>
      <c r="DD92" s="399"/>
      <c r="DE92" s="399">
        <v>0</v>
      </c>
      <c r="DF92" s="399">
        <v>0</v>
      </c>
      <c r="DG92" s="399">
        <v>0</v>
      </c>
      <c r="DH92" s="399">
        <v>0</v>
      </c>
      <c r="DI92" s="399">
        <v>0</v>
      </c>
      <c r="DJ92" s="399"/>
      <c r="DK92" s="399">
        <v>0</v>
      </c>
      <c r="DL92" s="399">
        <v>0</v>
      </c>
      <c r="DM92" s="399"/>
      <c r="DN92" s="399">
        <v>0</v>
      </c>
      <c r="DO92" s="399">
        <v>0</v>
      </c>
      <c r="DP92" s="399">
        <v>0</v>
      </c>
      <c r="DQ92" s="399">
        <v>0</v>
      </c>
      <c r="DR92" s="399">
        <v>0</v>
      </c>
      <c r="DS92" s="399"/>
      <c r="DT92" s="399"/>
      <c r="DU92" s="399">
        <v>304872.4871842924</v>
      </c>
      <c r="DV92" s="399"/>
      <c r="DW92" s="399">
        <v>0</v>
      </c>
      <c r="DX92" s="399">
        <v>0</v>
      </c>
      <c r="DY92" s="399">
        <v>-55229.299999999988</v>
      </c>
      <c r="DZ92" s="399"/>
      <c r="EA92" s="399">
        <v>0</v>
      </c>
      <c r="EB92" s="399"/>
      <c r="EC92" s="399">
        <v>-54174.001935869746</v>
      </c>
      <c r="ED92" s="399"/>
      <c r="EE92" s="399">
        <v>0</v>
      </c>
      <c r="EF92" s="399">
        <v>0</v>
      </c>
      <c r="EG92" s="399"/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/>
      <c r="EN92" s="399"/>
      <c r="EO92" s="399">
        <v>0</v>
      </c>
      <c r="EP92" s="399">
        <v>0</v>
      </c>
      <c r="EQ92" s="399"/>
      <c r="ER92" s="399">
        <v>0</v>
      </c>
      <c r="ES92" s="399"/>
      <c r="ET92" s="399">
        <v>0</v>
      </c>
      <c r="EU92" s="399"/>
      <c r="EV92" s="399">
        <v>229</v>
      </c>
      <c r="EW92" s="399"/>
      <c r="EX92" s="399"/>
      <c r="EY92" s="399"/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8" customFormat="1">
      <c r="A93" s="399">
        <v>91</v>
      </c>
      <c r="B93" s="399" t="s">
        <v>2338</v>
      </c>
      <c r="C93" s="399" t="s">
        <v>2344</v>
      </c>
      <c r="D93" s="399" t="s">
        <v>533</v>
      </c>
      <c r="E93" s="399" t="s">
        <v>888</v>
      </c>
      <c r="F93" s="399" t="s">
        <v>1237</v>
      </c>
      <c r="G93" s="399" t="s">
        <v>1237</v>
      </c>
      <c r="H93" s="399" t="s">
        <v>1237</v>
      </c>
      <c r="I93" s="399" t="s">
        <v>1237</v>
      </c>
      <c r="J93" s="399" t="s">
        <v>2337</v>
      </c>
      <c r="K93" s="788">
        <v>44531</v>
      </c>
      <c r="L93" s="399">
        <v>-25</v>
      </c>
      <c r="M93" s="399">
        <v>-25</v>
      </c>
      <c r="N93" s="399">
        <v>0</v>
      </c>
      <c r="O93" s="399">
        <v>0</v>
      </c>
      <c r="P93" s="399">
        <v>0</v>
      </c>
      <c r="Q93" s="399">
        <v>0</v>
      </c>
      <c r="R93" s="399">
        <v>46.29</v>
      </c>
      <c r="S93" s="399"/>
      <c r="T93" s="399"/>
      <c r="U93" s="399">
        <v>-1157.25</v>
      </c>
      <c r="V93" s="399"/>
      <c r="W93" s="399">
        <v>-1157.25</v>
      </c>
      <c r="X93" s="399">
        <v>-1028.75</v>
      </c>
      <c r="Y93" s="399">
        <v>0</v>
      </c>
      <c r="Z93" s="399">
        <v>0</v>
      </c>
      <c r="AA93" s="399">
        <v>0</v>
      </c>
      <c r="AB93" s="399">
        <v>0</v>
      </c>
      <c r="AC93" s="399">
        <v>0</v>
      </c>
      <c r="AD93" s="399">
        <v>-447.82530933789752</v>
      </c>
      <c r="AE93" s="399">
        <v>-709.33570773451004</v>
      </c>
      <c r="AF93" s="399"/>
      <c r="AG93" s="399"/>
      <c r="AH93" s="399"/>
      <c r="AI93" s="399">
        <v>0</v>
      </c>
      <c r="AJ93" s="399">
        <v>0</v>
      </c>
      <c r="AK93" s="399">
        <v>0</v>
      </c>
      <c r="AL93" s="399">
        <v>0</v>
      </c>
      <c r="AM93" s="399"/>
      <c r="AN93" s="399">
        <v>0</v>
      </c>
      <c r="AO93" s="399">
        <v>0</v>
      </c>
      <c r="AP93" s="399">
        <v>0</v>
      </c>
      <c r="AQ93" s="399">
        <v>0</v>
      </c>
      <c r="AR93" s="399">
        <v>0</v>
      </c>
      <c r="AS93" s="399"/>
      <c r="AT93" s="399"/>
      <c r="AU93" s="399">
        <v>0</v>
      </c>
      <c r="AV93" s="399">
        <v>0</v>
      </c>
      <c r="AW93" s="399">
        <v>0</v>
      </c>
      <c r="AX93" s="399"/>
      <c r="AY93" s="399"/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/>
      <c r="BG93" s="399">
        <v>0</v>
      </c>
      <c r="BH93" s="399">
        <v>0</v>
      </c>
      <c r="BI93" s="399">
        <v>0</v>
      </c>
      <c r="BJ93" s="399">
        <v>0</v>
      </c>
      <c r="BK93" s="399">
        <v>-2619.88</v>
      </c>
      <c r="BL93" s="399">
        <v>0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>
        <v>0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-1028.75</v>
      </c>
      <c r="CJ93" s="399">
        <v>128.47000000000003</v>
      </c>
      <c r="CK93" s="399"/>
      <c r="CL93" s="399"/>
      <c r="CM93" s="399"/>
      <c r="CN93" s="399"/>
      <c r="CO93" s="399">
        <v>128.5</v>
      </c>
      <c r="CP93" s="399">
        <v>0</v>
      </c>
      <c r="CQ93" s="399"/>
      <c r="CR93" s="399">
        <v>2.3959459609200167</v>
      </c>
      <c r="CS93" s="399">
        <v>0</v>
      </c>
      <c r="CT93" s="399">
        <v>0</v>
      </c>
      <c r="CU93" s="399">
        <v>0</v>
      </c>
      <c r="CV93" s="399">
        <v>0</v>
      </c>
      <c r="CW93" s="399"/>
      <c r="CX93" s="399"/>
      <c r="CY93" s="399"/>
      <c r="CZ93" s="399">
        <v>2.3959459609200167</v>
      </c>
      <c r="DA93" s="399">
        <v>0</v>
      </c>
      <c r="DB93" s="399">
        <v>0</v>
      </c>
      <c r="DC93" s="399"/>
      <c r="DD93" s="399"/>
      <c r="DE93" s="399">
        <v>0</v>
      </c>
      <c r="DF93" s="399">
        <v>0</v>
      </c>
      <c r="DG93" s="399">
        <v>0</v>
      </c>
      <c r="DH93" s="399">
        <v>0</v>
      </c>
      <c r="DI93" s="399">
        <v>0</v>
      </c>
      <c r="DJ93" s="399"/>
      <c r="DK93" s="399">
        <v>0</v>
      </c>
      <c r="DL93" s="399">
        <v>0</v>
      </c>
      <c r="DM93" s="399"/>
      <c r="DN93" s="399">
        <v>0</v>
      </c>
      <c r="DO93" s="399">
        <v>0</v>
      </c>
      <c r="DP93" s="399">
        <v>0</v>
      </c>
      <c r="DQ93" s="399">
        <v>0</v>
      </c>
      <c r="DR93" s="399">
        <v>0</v>
      </c>
      <c r="DS93" s="399"/>
      <c r="DT93" s="399"/>
      <c r="DU93" s="399">
        <v>-709.33570773451004</v>
      </c>
      <c r="DV93" s="399"/>
      <c r="DW93" s="399">
        <v>0</v>
      </c>
      <c r="DX93" s="399">
        <v>0</v>
      </c>
      <c r="DY93" s="399">
        <v>128.5</v>
      </c>
      <c r="DZ93" s="399"/>
      <c r="EA93" s="399">
        <v>0</v>
      </c>
      <c r="EB93" s="399"/>
      <c r="EC93" s="399">
        <v>126.04467644455508</v>
      </c>
      <c r="ED93" s="399"/>
      <c r="EE93" s="399">
        <v>0</v>
      </c>
      <c r="EF93" s="399">
        <v>0</v>
      </c>
      <c r="EG93" s="399"/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/>
      <c r="EN93" s="399"/>
      <c r="EO93" s="399">
        <v>0</v>
      </c>
      <c r="EP93" s="399">
        <v>0</v>
      </c>
      <c r="EQ93" s="399"/>
      <c r="ER93" s="399">
        <v>0</v>
      </c>
      <c r="ES93" s="399"/>
      <c r="ET93" s="399">
        <v>0</v>
      </c>
      <c r="EU93" s="399"/>
      <c r="EV93" s="399">
        <v>229</v>
      </c>
      <c r="EW93" s="399"/>
      <c r="EX93" s="399"/>
      <c r="EY93" s="399"/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8" customFormat="1">
      <c r="A94" s="399">
        <v>92</v>
      </c>
      <c r="B94" s="399" t="s">
        <v>2339</v>
      </c>
      <c r="C94" s="399" t="s">
        <v>2344</v>
      </c>
      <c r="D94" s="399" t="s">
        <v>533</v>
      </c>
      <c r="E94" s="399" t="s">
        <v>888</v>
      </c>
      <c r="F94" s="399" t="s">
        <v>1237</v>
      </c>
      <c r="G94" s="399" t="s">
        <v>1237</v>
      </c>
      <c r="H94" s="399" t="s">
        <v>1237</v>
      </c>
      <c r="I94" s="399" t="s">
        <v>1237</v>
      </c>
      <c r="J94" s="399" t="s">
        <v>2337</v>
      </c>
      <c r="K94" s="788">
        <v>44531</v>
      </c>
      <c r="L94" s="399">
        <v>60</v>
      </c>
      <c r="M94" s="399">
        <v>60</v>
      </c>
      <c r="N94" s="399">
        <v>0</v>
      </c>
      <c r="O94" s="399">
        <v>0</v>
      </c>
      <c r="P94" s="399">
        <v>0</v>
      </c>
      <c r="Q94" s="399">
        <v>0</v>
      </c>
      <c r="R94" s="399">
        <v>46.29</v>
      </c>
      <c r="S94" s="399"/>
      <c r="T94" s="399"/>
      <c r="U94" s="399">
        <v>2777.4</v>
      </c>
      <c r="V94" s="399"/>
      <c r="W94" s="399">
        <v>2777.4</v>
      </c>
      <c r="X94" s="399">
        <v>2469</v>
      </c>
      <c r="Y94" s="399">
        <v>0</v>
      </c>
      <c r="Z94" s="399">
        <v>0</v>
      </c>
      <c r="AA94" s="399">
        <v>0</v>
      </c>
      <c r="AB94" s="399">
        <v>0</v>
      </c>
      <c r="AC94" s="399">
        <v>0</v>
      </c>
      <c r="AD94" s="399">
        <v>1074.780742410954</v>
      </c>
      <c r="AE94" s="399">
        <v>1702.405698562824</v>
      </c>
      <c r="AF94" s="399"/>
      <c r="AG94" s="399"/>
      <c r="AH94" s="399"/>
      <c r="AI94" s="399">
        <v>0</v>
      </c>
      <c r="AJ94" s="399">
        <v>0</v>
      </c>
      <c r="AK94" s="399">
        <v>0</v>
      </c>
      <c r="AL94" s="399">
        <v>0</v>
      </c>
      <c r="AM94" s="399"/>
      <c r="AN94" s="399">
        <v>0</v>
      </c>
      <c r="AO94" s="399">
        <v>0</v>
      </c>
      <c r="AP94" s="399">
        <v>0</v>
      </c>
      <c r="AQ94" s="399">
        <v>0</v>
      </c>
      <c r="AR94" s="399">
        <v>0</v>
      </c>
      <c r="AS94" s="399"/>
      <c r="AT94" s="399"/>
      <c r="AU94" s="399">
        <v>0</v>
      </c>
      <c r="AV94" s="399">
        <v>0</v>
      </c>
      <c r="AW94" s="399">
        <v>0</v>
      </c>
      <c r="AX94" s="399"/>
      <c r="AY94" s="399"/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/>
      <c r="BG94" s="399">
        <v>0</v>
      </c>
      <c r="BH94" s="399">
        <v>0</v>
      </c>
      <c r="BI94" s="399">
        <v>0</v>
      </c>
      <c r="BJ94" s="399">
        <v>0</v>
      </c>
      <c r="BK94" s="399">
        <v>3458.94</v>
      </c>
      <c r="BL94" s="399">
        <v>1</v>
      </c>
      <c r="BM94" s="399"/>
      <c r="BN94" s="399"/>
      <c r="BO94" s="399"/>
      <c r="BP94" s="399"/>
      <c r="BQ94" s="399"/>
      <c r="BR94" s="399"/>
      <c r="BS94" s="399"/>
      <c r="BT94" s="399"/>
      <c r="BU94" s="399"/>
      <c r="BV94" s="399">
        <v>0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2469</v>
      </c>
      <c r="CJ94" s="399">
        <v>-308.43000000000075</v>
      </c>
      <c r="CK94" s="399"/>
      <c r="CL94" s="399"/>
      <c r="CM94" s="399"/>
      <c r="CN94" s="399"/>
      <c r="CO94" s="399">
        <v>-308.40000000000003</v>
      </c>
      <c r="CP94" s="399">
        <v>0</v>
      </c>
      <c r="CQ94" s="399"/>
      <c r="CR94" s="399">
        <v>-5.7502703062079945</v>
      </c>
      <c r="CS94" s="399">
        <v>0</v>
      </c>
      <c r="CT94" s="399">
        <v>0</v>
      </c>
      <c r="CU94" s="399">
        <v>0</v>
      </c>
      <c r="CV94" s="399">
        <v>0</v>
      </c>
      <c r="CW94" s="399"/>
      <c r="CX94" s="399"/>
      <c r="CY94" s="399"/>
      <c r="CZ94" s="399">
        <v>-5.7502703062079945</v>
      </c>
      <c r="DA94" s="399">
        <v>0</v>
      </c>
      <c r="DB94" s="399">
        <v>0</v>
      </c>
      <c r="DC94" s="399"/>
      <c r="DD94" s="399"/>
      <c r="DE94" s="399">
        <v>0</v>
      </c>
      <c r="DF94" s="399">
        <v>0</v>
      </c>
      <c r="DG94" s="399">
        <v>0</v>
      </c>
      <c r="DH94" s="399">
        <v>0</v>
      </c>
      <c r="DI94" s="399">
        <v>0</v>
      </c>
      <c r="DJ94" s="399"/>
      <c r="DK94" s="399">
        <v>0</v>
      </c>
      <c r="DL94" s="399">
        <v>0</v>
      </c>
      <c r="DM94" s="399"/>
      <c r="DN94" s="399">
        <v>0</v>
      </c>
      <c r="DO94" s="399">
        <v>0</v>
      </c>
      <c r="DP94" s="399">
        <v>0</v>
      </c>
      <c r="DQ94" s="399">
        <v>0</v>
      </c>
      <c r="DR94" s="399">
        <v>0</v>
      </c>
      <c r="DS94" s="399"/>
      <c r="DT94" s="399"/>
      <c r="DU94" s="399">
        <v>1702.405698562824</v>
      </c>
      <c r="DV94" s="399"/>
      <c r="DW94" s="399">
        <v>0</v>
      </c>
      <c r="DX94" s="399">
        <v>0</v>
      </c>
      <c r="DY94" s="399">
        <v>-308.40000000000009</v>
      </c>
      <c r="DZ94" s="399"/>
      <c r="EA94" s="399">
        <v>0</v>
      </c>
      <c r="EB94" s="399"/>
      <c r="EC94" s="399">
        <v>-302.50722346693192</v>
      </c>
      <c r="ED94" s="399"/>
      <c r="EE94" s="399">
        <v>0</v>
      </c>
      <c r="EF94" s="399">
        <v>0</v>
      </c>
      <c r="EG94" s="399"/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/>
      <c r="EN94" s="399"/>
      <c r="EO94" s="399">
        <v>0</v>
      </c>
      <c r="EP94" s="399">
        <v>0</v>
      </c>
      <c r="EQ94" s="399"/>
      <c r="ER94" s="399">
        <v>0</v>
      </c>
      <c r="ES94" s="399"/>
      <c r="ET94" s="399">
        <v>0</v>
      </c>
      <c r="EU94" s="399"/>
      <c r="EV94" s="399">
        <v>229</v>
      </c>
      <c r="EW94" s="399"/>
      <c r="EX94" s="399"/>
      <c r="EY94" s="399"/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8" customFormat="1">
      <c r="A95" s="399">
        <v>93</v>
      </c>
      <c r="B95" s="399" t="s">
        <v>954</v>
      </c>
      <c r="C95" s="399" t="s">
        <v>2345</v>
      </c>
      <c r="D95" s="399" t="s">
        <v>1822</v>
      </c>
      <c r="E95" s="399" t="s">
        <v>888</v>
      </c>
      <c r="F95" s="399" t="s">
        <v>1237</v>
      </c>
      <c r="G95" s="399" t="s">
        <v>1237</v>
      </c>
      <c r="H95" s="399" t="s">
        <v>1237</v>
      </c>
      <c r="I95" s="399" t="s">
        <v>891</v>
      </c>
      <c r="J95" s="399" t="s">
        <v>2337</v>
      </c>
      <c r="K95" s="788">
        <v>44531</v>
      </c>
      <c r="L95" s="399">
        <v>0</v>
      </c>
      <c r="M95" s="399">
        <v>0</v>
      </c>
      <c r="N95" s="399">
        <v>5.1999999999999998E-2</v>
      </c>
      <c r="O95" s="399">
        <v>5.1999999999999998E-2</v>
      </c>
      <c r="P95" s="399">
        <v>5.1999999999999998E-2</v>
      </c>
      <c r="Q95" s="399">
        <v>5.1999999999999998E-2</v>
      </c>
      <c r="R95" s="399"/>
      <c r="S95" s="399">
        <v>2187.66</v>
      </c>
      <c r="T95" s="399">
        <v>119.97</v>
      </c>
      <c r="U95" s="399"/>
      <c r="V95" s="399">
        <v>119.99675999999998</v>
      </c>
      <c r="W95" s="399">
        <v>119.99675999999998</v>
      </c>
      <c r="X95" s="399">
        <v>103.5294</v>
      </c>
      <c r="Y95" s="399">
        <v>0</v>
      </c>
      <c r="Z95" s="399">
        <v>3.1665337380623493</v>
      </c>
      <c r="AA95" s="399">
        <v>0</v>
      </c>
      <c r="AB95" s="399">
        <v>0</v>
      </c>
      <c r="AC95" s="399">
        <v>0</v>
      </c>
      <c r="AD95" s="399">
        <v>19.011025009107506</v>
      </c>
      <c r="AE95" s="399">
        <v>90.055359472866826</v>
      </c>
      <c r="AF95" s="399">
        <v>6.2386398138235073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0.48933174726053852</v>
      </c>
      <c r="AM95" s="399"/>
      <c r="AN95" s="399">
        <v>0.11186753506275621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0.9241655023344223</v>
      </c>
      <c r="BH95" s="399">
        <v>0</v>
      </c>
      <c r="BI95" s="399">
        <v>0</v>
      </c>
      <c r="BJ95" s="399">
        <v>0</v>
      </c>
      <c r="BK95" s="399">
        <v>0</v>
      </c>
      <c r="BL95" s="399">
        <v>0</v>
      </c>
      <c r="BM95" s="399"/>
      <c r="BN95" s="399"/>
      <c r="BO95" s="399"/>
      <c r="BP95" s="399"/>
      <c r="BQ95" s="399"/>
      <c r="BR95" s="399"/>
      <c r="BS95" s="399"/>
      <c r="BT95" s="399"/>
      <c r="BU95" s="399"/>
      <c r="BV95" s="399">
        <v>7.1628053161579297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99.547500000000014</v>
      </c>
      <c r="CJ95" s="399">
        <v>-20.479259999999982</v>
      </c>
      <c r="CK95" s="399"/>
      <c r="CL95" s="399"/>
      <c r="CM95" s="399"/>
      <c r="CN95" s="399"/>
      <c r="CO95" s="399">
        <v>-16.467359999999992</v>
      </c>
      <c r="CP95" s="399">
        <v>0</v>
      </c>
      <c r="CQ95" s="399"/>
      <c r="CR95" s="399">
        <v>-0.46482682587769375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-0.10171240355052547</v>
      </c>
      <c r="DA95" s="399">
        <v>0</v>
      </c>
      <c r="DB95" s="399">
        <v>0</v>
      </c>
      <c r="DC95" s="399">
        <v>0</v>
      </c>
      <c r="DD95" s="399">
        <v>0</v>
      </c>
      <c r="DE95" s="399">
        <v>0</v>
      </c>
      <c r="DF95" s="399">
        <v>0</v>
      </c>
      <c r="DG95" s="399">
        <v>0</v>
      </c>
      <c r="DH95" s="399">
        <v>0</v>
      </c>
      <c r="DI95" s="399">
        <v>-0.31216406863930635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-4.1700021838317503E-2</v>
      </c>
      <c r="DP95" s="399">
        <v>-9.2503318495437414E-3</v>
      </c>
      <c r="DQ95" s="399">
        <v>0</v>
      </c>
      <c r="DR95" s="399">
        <v>0</v>
      </c>
      <c r="DS95" s="399"/>
      <c r="DT95" s="399"/>
      <c r="DU95" s="399"/>
      <c r="DV95" s="399">
        <v>90.055359472866826</v>
      </c>
      <c r="DW95" s="399">
        <v>0</v>
      </c>
      <c r="DX95" s="399">
        <v>0</v>
      </c>
      <c r="DY95" s="399">
        <v>-16.467359999999985</v>
      </c>
      <c r="DZ95" s="399">
        <v>0</v>
      </c>
      <c r="EA95" s="399">
        <v>0</v>
      </c>
      <c r="EB95" s="399">
        <v>0</v>
      </c>
      <c r="EC95" s="399">
        <v>-16.002294150831034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229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8" customFormat="1">
      <c r="A96" s="399">
        <v>94</v>
      </c>
      <c r="B96" s="399" t="s">
        <v>954</v>
      </c>
      <c r="C96" s="399" t="s">
        <v>2345</v>
      </c>
      <c r="D96" s="399" t="s">
        <v>1822</v>
      </c>
      <c r="E96" s="399" t="s">
        <v>888</v>
      </c>
      <c r="F96" s="399" t="s">
        <v>1237</v>
      </c>
      <c r="G96" s="399" t="s">
        <v>1237</v>
      </c>
      <c r="H96" s="399" t="s">
        <v>1237</v>
      </c>
      <c r="I96" s="399" t="s">
        <v>2322</v>
      </c>
      <c r="J96" s="399" t="s">
        <v>2337</v>
      </c>
      <c r="K96" s="788">
        <v>44531</v>
      </c>
      <c r="L96" s="399">
        <v>0</v>
      </c>
      <c r="M96" s="399">
        <v>0</v>
      </c>
      <c r="N96" s="399">
        <v>27.806999999999999</v>
      </c>
      <c r="O96" s="399">
        <v>27.806999999999999</v>
      </c>
      <c r="P96" s="399">
        <v>27.806999999999999</v>
      </c>
      <c r="Q96" s="399">
        <v>27.806999999999999</v>
      </c>
      <c r="R96" s="399"/>
      <c r="S96" s="399">
        <v>509.72</v>
      </c>
      <c r="T96" s="399">
        <v>119.97</v>
      </c>
      <c r="U96" s="399"/>
      <c r="V96" s="399">
        <v>17509.789830000002</v>
      </c>
      <c r="W96" s="399">
        <v>17509.789830000002</v>
      </c>
      <c r="X96" s="399">
        <v>15593.053319999999</v>
      </c>
      <c r="Y96" s="399">
        <v>0</v>
      </c>
      <c r="Z96" s="399">
        <v>1693.3039164288411</v>
      </c>
      <c r="AA96" s="399">
        <v>0</v>
      </c>
      <c r="AB96" s="399">
        <v>0</v>
      </c>
      <c r="AC96" s="399">
        <v>0</v>
      </c>
      <c r="AD96" s="399">
        <v>2033.2291247240453</v>
      </c>
      <c r="AE96" s="399">
        <v>9631.4285972748003</v>
      </c>
      <c r="AF96" s="399">
        <v>3336.1126404421207</v>
      </c>
      <c r="AG96" s="399">
        <v>0</v>
      </c>
      <c r="AH96" s="399">
        <v>0</v>
      </c>
      <c r="AI96" s="399">
        <v>0</v>
      </c>
      <c r="AJ96" s="399">
        <v>0</v>
      </c>
      <c r="AK96" s="399">
        <v>0</v>
      </c>
      <c r="AL96" s="399">
        <v>261.67015184757298</v>
      </c>
      <c r="AM96" s="399"/>
      <c r="AN96" s="399">
        <v>59.82116437480888</v>
      </c>
      <c r="AO96" s="399">
        <v>0</v>
      </c>
      <c r="AP96" s="399">
        <v>0</v>
      </c>
      <c r="AQ96" s="399">
        <v>0</v>
      </c>
      <c r="AR96" s="399">
        <v>0</v>
      </c>
      <c r="AS96" s="399">
        <v>0</v>
      </c>
      <c r="AT96" s="399">
        <v>0</v>
      </c>
      <c r="AU96" s="399">
        <v>0</v>
      </c>
      <c r="AV96" s="399">
        <v>0</v>
      </c>
      <c r="AW96" s="399">
        <v>0</v>
      </c>
      <c r="AX96" s="399">
        <v>0</v>
      </c>
      <c r="AY96" s="399">
        <v>0</v>
      </c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>
        <v>0</v>
      </c>
      <c r="BG96" s="399">
        <v>494.19750237333233</v>
      </c>
      <c r="BH96" s="399">
        <v>0</v>
      </c>
      <c r="BI96" s="399">
        <v>0</v>
      </c>
      <c r="BJ96" s="399">
        <v>0</v>
      </c>
      <c r="BK96" s="399">
        <v>0</v>
      </c>
      <c r="BL96" s="399">
        <v>0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>
        <v>3830.3101428154532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15594.7356</v>
      </c>
      <c r="CJ96" s="399">
        <v>-1915.0842300000004</v>
      </c>
      <c r="CK96" s="399"/>
      <c r="CL96" s="399"/>
      <c r="CM96" s="399"/>
      <c r="CN96" s="399"/>
      <c r="CO96" s="399">
        <v>-1916.7365100000002</v>
      </c>
      <c r="CP96" s="399">
        <v>0</v>
      </c>
      <c r="CQ96" s="399"/>
      <c r="CR96" s="399">
        <v>-205.05357889917741</v>
      </c>
      <c r="CS96" s="399">
        <v>0</v>
      </c>
      <c r="CT96" s="399">
        <v>0</v>
      </c>
      <c r="CU96" s="399">
        <v>0</v>
      </c>
      <c r="CV96" s="399">
        <v>0</v>
      </c>
      <c r="CW96" s="399">
        <v>0</v>
      </c>
      <c r="CX96" s="399">
        <v>0</v>
      </c>
      <c r="CY96" s="399">
        <v>0</v>
      </c>
      <c r="CZ96" s="399">
        <v>-10.878141559726146</v>
      </c>
      <c r="DA96" s="399">
        <v>0</v>
      </c>
      <c r="DB96" s="399">
        <v>0</v>
      </c>
      <c r="DC96" s="399">
        <v>0</v>
      </c>
      <c r="DD96" s="399">
        <v>0</v>
      </c>
      <c r="DE96" s="399">
        <v>0</v>
      </c>
      <c r="DF96" s="399">
        <v>0</v>
      </c>
      <c r="DG96" s="399">
        <v>0</v>
      </c>
      <c r="DH96" s="399">
        <v>0</v>
      </c>
      <c r="DI96" s="399">
        <v>-166.92973570486879</v>
      </c>
      <c r="DJ96" s="399"/>
      <c r="DK96" s="399">
        <v>0</v>
      </c>
      <c r="DL96" s="399">
        <v>0</v>
      </c>
      <c r="DM96" s="399">
        <v>0</v>
      </c>
      <c r="DN96" s="399">
        <v>0</v>
      </c>
      <c r="DO96" s="399">
        <v>-22.299086678040283</v>
      </c>
      <c r="DP96" s="399">
        <v>-4.9466149565435131</v>
      </c>
      <c r="DQ96" s="399">
        <v>0</v>
      </c>
      <c r="DR96" s="399">
        <v>0</v>
      </c>
      <c r="DS96" s="399"/>
      <c r="DT96" s="399"/>
      <c r="DU96" s="399"/>
      <c r="DV96" s="399">
        <v>9631.4285972748003</v>
      </c>
      <c r="DW96" s="399">
        <v>0</v>
      </c>
      <c r="DX96" s="399">
        <v>0</v>
      </c>
      <c r="DY96" s="399">
        <v>-1916.7365100000006</v>
      </c>
      <c r="DZ96" s="399">
        <v>0</v>
      </c>
      <c r="EA96" s="399">
        <v>0</v>
      </c>
      <c r="EB96" s="399">
        <v>0</v>
      </c>
      <c r="EC96" s="399">
        <v>-1711.4467635072215</v>
      </c>
      <c r="ED96" s="399">
        <v>0</v>
      </c>
      <c r="EE96" s="399">
        <v>0</v>
      </c>
      <c r="EF96" s="399">
        <v>0</v>
      </c>
      <c r="EG96" s="399">
        <v>0</v>
      </c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>
        <v>0</v>
      </c>
      <c r="EN96" s="399">
        <v>0</v>
      </c>
      <c r="EO96" s="399">
        <v>0</v>
      </c>
      <c r="EP96" s="399">
        <v>0</v>
      </c>
      <c r="EQ96" s="399">
        <v>0</v>
      </c>
      <c r="ER96" s="399">
        <v>0</v>
      </c>
      <c r="ES96" s="399">
        <v>0</v>
      </c>
      <c r="ET96" s="399">
        <v>0</v>
      </c>
      <c r="EU96" s="399">
        <v>0</v>
      </c>
      <c r="EV96" s="399">
        <v>229</v>
      </c>
      <c r="EW96" s="399">
        <v>0</v>
      </c>
      <c r="EX96" s="399">
        <v>0</v>
      </c>
      <c r="EY96" s="399">
        <v>0</v>
      </c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8" customFormat="1">
      <c r="A97" s="399">
        <v>95</v>
      </c>
      <c r="B97" s="399" t="s">
        <v>954</v>
      </c>
      <c r="C97" s="399" t="s">
        <v>2345</v>
      </c>
      <c r="D97" s="399" t="s">
        <v>1822</v>
      </c>
      <c r="E97" s="399" t="s">
        <v>888</v>
      </c>
      <c r="F97" s="399" t="s">
        <v>1237</v>
      </c>
      <c r="G97" s="399" t="s">
        <v>1237</v>
      </c>
      <c r="H97" s="399" t="s">
        <v>1237</v>
      </c>
      <c r="I97" s="399" t="s">
        <v>1237</v>
      </c>
      <c r="J97" s="399" t="s">
        <v>2337</v>
      </c>
      <c r="K97" s="788">
        <v>44531</v>
      </c>
      <c r="L97" s="399">
        <v>0</v>
      </c>
      <c r="M97" s="399">
        <v>0</v>
      </c>
      <c r="N97" s="399">
        <v>0</v>
      </c>
      <c r="O97" s="399">
        <v>0</v>
      </c>
      <c r="P97" s="399">
        <v>0</v>
      </c>
      <c r="Q97" s="399">
        <v>0</v>
      </c>
      <c r="R97" s="399"/>
      <c r="S97" s="399"/>
      <c r="T97" s="399"/>
      <c r="U97" s="399"/>
      <c r="V97" s="399"/>
      <c r="W97" s="399"/>
      <c r="X97" s="399"/>
      <c r="Y97" s="399"/>
      <c r="Z97" s="399"/>
      <c r="AA97" s="399">
        <v>0</v>
      </c>
      <c r="AB97" s="399"/>
      <c r="AC97" s="399"/>
      <c r="AD97" s="399"/>
      <c r="AE97" s="399"/>
      <c r="AF97" s="399"/>
      <c r="AG97" s="399"/>
      <c r="AH97" s="399"/>
      <c r="AI97" s="399"/>
      <c r="AJ97" s="399"/>
      <c r="AK97" s="399"/>
      <c r="AL97" s="399"/>
      <c r="AM97" s="399"/>
      <c r="AN97" s="399"/>
      <c r="AO97" s="399"/>
      <c r="AP97" s="399"/>
      <c r="AQ97" s="399"/>
      <c r="AR97" s="399"/>
      <c r="AS97" s="399"/>
      <c r="AT97" s="399"/>
      <c r="AU97" s="399"/>
      <c r="AV97" s="399"/>
      <c r="AW97" s="399"/>
      <c r="AX97" s="399"/>
      <c r="AY97" s="399"/>
      <c r="AZ97" s="399">
        <v>0</v>
      </c>
      <c r="BA97" s="399"/>
      <c r="BB97" s="399"/>
      <c r="BC97" s="399"/>
      <c r="BD97" s="399"/>
      <c r="BE97" s="399"/>
      <c r="BF97" s="399"/>
      <c r="BG97" s="399"/>
      <c r="BH97" s="399"/>
      <c r="BI97" s="399">
        <v>0</v>
      </c>
      <c r="BJ97" s="399">
        <v>0</v>
      </c>
      <c r="BK97" s="399">
        <v>6638.2</v>
      </c>
      <c r="BL97" s="399">
        <v>7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/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/>
      <c r="CJ97" s="399">
        <v>-0.03</v>
      </c>
      <c r="CK97" s="399"/>
      <c r="CL97" s="399"/>
      <c r="CM97" s="399"/>
      <c r="CN97" s="399"/>
      <c r="CO97" s="399">
        <v>0</v>
      </c>
      <c r="CP97" s="399">
        <v>0</v>
      </c>
      <c r="CQ97" s="399"/>
      <c r="CR97" s="399"/>
      <c r="CS97" s="399"/>
      <c r="CT97" s="399"/>
      <c r="CU97" s="399"/>
      <c r="CV97" s="399"/>
      <c r="CW97" s="399"/>
      <c r="CX97" s="399"/>
      <c r="CY97" s="399"/>
      <c r="CZ97" s="399"/>
      <c r="DA97" s="399"/>
      <c r="DB97" s="399"/>
      <c r="DC97" s="399"/>
      <c r="DD97" s="399"/>
      <c r="DE97" s="399"/>
      <c r="DF97" s="399"/>
      <c r="DG97" s="399"/>
      <c r="DH97" s="399"/>
      <c r="DI97" s="399"/>
      <c r="DJ97" s="399"/>
      <c r="DK97" s="399">
        <v>0</v>
      </c>
      <c r="DL97" s="399"/>
      <c r="DM97" s="399"/>
      <c r="DN97" s="399"/>
      <c r="DO97" s="399"/>
      <c r="DP97" s="399"/>
      <c r="DQ97" s="399"/>
      <c r="DR97" s="399"/>
      <c r="DS97" s="399"/>
      <c r="DT97" s="399"/>
      <c r="DU97" s="399"/>
      <c r="DV97" s="399"/>
      <c r="DW97" s="399"/>
      <c r="DX97" s="399"/>
      <c r="DY97" s="399"/>
      <c r="DZ97" s="399"/>
      <c r="EA97" s="399"/>
      <c r="EB97" s="399"/>
      <c r="EC97" s="399"/>
      <c r="ED97" s="399"/>
      <c r="EE97" s="399"/>
      <c r="EF97" s="399"/>
      <c r="EG97" s="399"/>
      <c r="EH97" s="399"/>
      <c r="EI97" s="399"/>
      <c r="EJ97" s="399"/>
      <c r="EK97" s="399"/>
      <c r="EL97" s="399"/>
      <c r="EM97" s="399"/>
      <c r="EN97" s="399"/>
      <c r="EO97" s="399"/>
      <c r="EP97" s="399"/>
      <c r="EQ97" s="399"/>
      <c r="ER97" s="399"/>
      <c r="ES97" s="399"/>
      <c r="ET97" s="399"/>
      <c r="EU97" s="399"/>
      <c r="EV97" s="399">
        <v>229</v>
      </c>
      <c r="EW97" s="399"/>
      <c r="EX97" s="399"/>
      <c r="EY97" s="399"/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8" customFormat="1">
      <c r="A98" s="399">
        <v>96</v>
      </c>
      <c r="B98" s="399" t="s">
        <v>2339</v>
      </c>
      <c r="C98" s="399" t="s">
        <v>2345</v>
      </c>
      <c r="D98" s="399" t="s">
        <v>1822</v>
      </c>
      <c r="E98" s="399" t="s">
        <v>888</v>
      </c>
      <c r="F98" s="399" t="s">
        <v>1237</v>
      </c>
      <c r="G98" s="399" t="s">
        <v>1237</v>
      </c>
      <c r="H98" s="399" t="s">
        <v>1237</v>
      </c>
      <c r="I98" s="399" t="s">
        <v>1237</v>
      </c>
      <c r="J98" s="399" t="s">
        <v>2337</v>
      </c>
      <c r="K98" s="788">
        <v>44531</v>
      </c>
      <c r="L98" s="399">
        <v>0</v>
      </c>
      <c r="M98" s="399">
        <v>0</v>
      </c>
      <c r="N98" s="399">
        <v>0</v>
      </c>
      <c r="O98" s="399">
        <v>0</v>
      </c>
      <c r="P98" s="399">
        <v>0</v>
      </c>
      <c r="Q98" s="399">
        <v>0</v>
      </c>
      <c r="R98" s="399"/>
      <c r="S98" s="399"/>
      <c r="T98" s="399"/>
      <c r="U98" s="399"/>
      <c r="V98" s="399"/>
      <c r="W98" s="399"/>
      <c r="X98" s="399"/>
      <c r="Y98" s="399"/>
      <c r="Z98" s="399"/>
      <c r="AA98" s="399">
        <v>0</v>
      </c>
      <c r="AB98" s="399"/>
      <c r="AC98" s="399"/>
      <c r="AD98" s="399"/>
      <c r="AE98" s="399"/>
      <c r="AF98" s="399"/>
      <c r="AG98" s="399"/>
      <c r="AH98" s="399"/>
      <c r="AI98" s="399"/>
      <c r="AJ98" s="399"/>
      <c r="AK98" s="399"/>
      <c r="AL98" s="399"/>
      <c r="AM98" s="399"/>
      <c r="AN98" s="399"/>
      <c r="AO98" s="399"/>
      <c r="AP98" s="399"/>
      <c r="AQ98" s="399"/>
      <c r="AR98" s="399"/>
      <c r="AS98" s="399"/>
      <c r="AT98" s="399"/>
      <c r="AU98" s="399"/>
      <c r="AV98" s="399"/>
      <c r="AW98" s="399"/>
      <c r="AX98" s="399"/>
      <c r="AY98" s="399"/>
      <c r="AZ98" s="399">
        <v>0</v>
      </c>
      <c r="BA98" s="399"/>
      <c r="BB98" s="399"/>
      <c r="BC98" s="399"/>
      <c r="BD98" s="399"/>
      <c r="BE98" s="399"/>
      <c r="BF98" s="399"/>
      <c r="BG98" s="399"/>
      <c r="BH98" s="399"/>
      <c r="BI98" s="399">
        <v>0</v>
      </c>
      <c r="BJ98" s="399">
        <v>0</v>
      </c>
      <c r="BK98" s="399">
        <v>852.51</v>
      </c>
      <c r="BL98" s="399">
        <v>2</v>
      </c>
      <c r="BM98" s="399"/>
      <c r="BN98" s="399"/>
      <c r="BO98" s="399"/>
      <c r="BP98" s="399"/>
      <c r="BQ98" s="399"/>
      <c r="BR98" s="399"/>
      <c r="BS98" s="399"/>
      <c r="BT98" s="399"/>
      <c r="BU98" s="399"/>
      <c r="BV98" s="399"/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/>
      <c r="CJ98" s="399">
        <v>-0.03</v>
      </c>
      <c r="CK98" s="399"/>
      <c r="CL98" s="399"/>
      <c r="CM98" s="399"/>
      <c r="CN98" s="399"/>
      <c r="CO98" s="399">
        <v>0</v>
      </c>
      <c r="CP98" s="399">
        <v>0</v>
      </c>
      <c r="CQ98" s="399"/>
      <c r="CR98" s="399"/>
      <c r="CS98" s="399"/>
      <c r="CT98" s="399"/>
      <c r="CU98" s="399"/>
      <c r="CV98" s="399"/>
      <c r="CW98" s="399"/>
      <c r="CX98" s="399"/>
      <c r="CY98" s="399"/>
      <c r="CZ98" s="399"/>
      <c r="DA98" s="399"/>
      <c r="DB98" s="399"/>
      <c r="DC98" s="399"/>
      <c r="DD98" s="399"/>
      <c r="DE98" s="399"/>
      <c r="DF98" s="399"/>
      <c r="DG98" s="399"/>
      <c r="DH98" s="399"/>
      <c r="DI98" s="399"/>
      <c r="DJ98" s="399"/>
      <c r="DK98" s="399">
        <v>0</v>
      </c>
      <c r="DL98" s="399"/>
      <c r="DM98" s="399"/>
      <c r="DN98" s="399"/>
      <c r="DO98" s="399"/>
      <c r="DP98" s="399"/>
      <c r="DQ98" s="399"/>
      <c r="DR98" s="399"/>
      <c r="DS98" s="399"/>
      <c r="DT98" s="399"/>
      <c r="DU98" s="399"/>
      <c r="DV98" s="399"/>
      <c r="DW98" s="399"/>
      <c r="DX98" s="399"/>
      <c r="DY98" s="399"/>
      <c r="DZ98" s="399"/>
      <c r="EA98" s="399"/>
      <c r="EB98" s="399"/>
      <c r="EC98" s="399"/>
      <c r="ED98" s="399"/>
      <c r="EE98" s="399"/>
      <c r="EF98" s="399"/>
      <c r="EG98" s="399"/>
      <c r="EH98" s="399"/>
      <c r="EI98" s="399"/>
      <c r="EJ98" s="399"/>
      <c r="EK98" s="399"/>
      <c r="EL98" s="399"/>
      <c r="EM98" s="399"/>
      <c r="EN98" s="399"/>
      <c r="EO98" s="399"/>
      <c r="EP98" s="399"/>
      <c r="EQ98" s="399"/>
      <c r="ER98" s="399"/>
      <c r="ES98" s="399"/>
      <c r="ET98" s="399"/>
      <c r="EU98" s="399"/>
      <c r="EV98" s="399">
        <v>229</v>
      </c>
      <c r="EW98" s="399"/>
      <c r="EX98" s="399"/>
      <c r="EY98" s="399"/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8" customFormat="1">
      <c r="A99" s="399">
        <v>97</v>
      </c>
      <c r="B99" s="399" t="s">
        <v>954</v>
      </c>
      <c r="C99" s="399" t="s">
        <v>2345</v>
      </c>
      <c r="D99" s="399" t="s">
        <v>1822</v>
      </c>
      <c r="E99" s="399" t="s">
        <v>888</v>
      </c>
      <c r="F99" s="399" t="s">
        <v>1237</v>
      </c>
      <c r="G99" s="399" t="s">
        <v>1237</v>
      </c>
      <c r="H99" s="399" t="s">
        <v>1237</v>
      </c>
      <c r="I99" s="399" t="s">
        <v>2346</v>
      </c>
      <c r="J99" s="399" t="s">
        <v>2337</v>
      </c>
      <c r="K99" s="788">
        <v>44531</v>
      </c>
      <c r="L99" s="399">
        <v>0</v>
      </c>
      <c r="M99" s="399">
        <v>0</v>
      </c>
      <c r="N99" s="399">
        <v>0.185</v>
      </c>
      <c r="O99" s="399">
        <v>0.185</v>
      </c>
      <c r="P99" s="399">
        <v>0.185</v>
      </c>
      <c r="Q99" s="399">
        <v>0.185</v>
      </c>
      <c r="R99" s="399"/>
      <c r="S99" s="399">
        <v>1348.63</v>
      </c>
      <c r="T99" s="399">
        <v>119.97</v>
      </c>
      <c r="U99" s="399"/>
      <c r="V99" s="399">
        <v>271.69100000000003</v>
      </c>
      <c r="W99" s="399">
        <v>271.69100000000003</v>
      </c>
      <c r="X99" s="399">
        <v>236.02299999999997</v>
      </c>
      <c r="Y99" s="399">
        <v>0</v>
      </c>
      <c r="Z99" s="399">
        <v>11.265552721952588</v>
      </c>
      <c r="AA99" s="399">
        <v>0</v>
      </c>
      <c r="AB99" s="399">
        <v>0</v>
      </c>
      <c r="AC99" s="399">
        <v>0</v>
      </c>
      <c r="AD99" s="399">
        <v>40.569916197963273</v>
      </c>
      <c r="AE99" s="399">
        <v>192.23353827461852</v>
      </c>
      <c r="AF99" s="399">
        <v>22.195160876102864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1.7408917931384544</v>
      </c>
      <c r="AM99" s="399"/>
      <c r="AN99" s="399">
        <v>0.39799026897326728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3.2878964986897721</v>
      </c>
      <c r="BH99" s="399">
        <v>0</v>
      </c>
      <c r="BI99" s="399">
        <v>0</v>
      </c>
      <c r="BJ99" s="399">
        <v>0</v>
      </c>
      <c r="BK99" s="399">
        <v>0</v>
      </c>
      <c r="BL99" s="399">
        <v>0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25.483057374792637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242.40199999999999</v>
      </c>
      <c r="CJ99" s="399">
        <v>-29.319000000000017</v>
      </c>
      <c r="CK99" s="399"/>
      <c r="CL99" s="399"/>
      <c r="CM99" s="399"/>
      <c r="CN99" s="399"/>
      <c r="CO99" s="399">
        <v>-35.668000000000035</v>
      </c>
      <c r="CP99" s="399">
        <v>0</v>
      </c>
      <c r="CQ99" s="399"/>
      <c r="CR99" s="399">
        <v>-1.5089057366048166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-0.21705634947930008</v>
      </c>
      <c r="DA99" s="399">
        <v>0</v>
      </c>
      <c r="DB99" s="399">
        <v>0</v>
      </c>
      <c r="DC99" s="399">
        <v>0</v>
      </c>
      <c r="DD99" s="399">
        <v>0</v>
      </c>
      <c r="DE99" s="399">
        <v>0</v>
      </c>
      <c r="DF99" s="399">
        <v>0</v>
      </c>
      <c r="DG99" s="399">
        <v>0</v>
      </c>
      <c r="DH99" s="399">
        <v>0</v>
      </c>
      <c r="DI99" s="399">
        <v>-1.1105837057359924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-0.14835584692478343</v>
      </c>
      <c r="DP99" s="399">
        <v>-3.2909834464722898E-2</v>
      </c>
      <c r="DQ99" s="399">
        <v>0</v>
      </c>
      <c r="DR99" s="399">
        <v>0</v>
      </c>
      <c r="DS99" s="399"/>
      <c r="DT99" s="399"/>
      <c r="DU99" s="399"/>
      <c r="DV99" s="399">
        <v>192.23353827461852</v>
      </c>
      <c r="DW99" s="399">
        <v>0</v>
      </c>
      <c r="DX99" s="399">
        <v>0</v>
      </c>
      <c r="DY99" s="399">
        <v>-35.668000000000035</v>
      </c>
      <c r="DZ99" s="399">
        <v>0</v>
      </c>
      <c r="EA99" s="399">
        <v>0</v>
      </c>
      <c r="EB99" s="399">
        <v>0</v>
      </c>
      <c r="EC99" s="399">
        <v>-34.158740169732511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229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8" customFormat="1">
      <c r="A100" s="399">
        <v>98</v>
      </c>
      <c r="B100" s="399" t="s">
        <v>954</v>
      </c>
      <c r="C100" s="399" t="s">
        <v>2336</v>
      </c>
      <c r="D100" s="399" t="s">
        <v>1822</v>
      </c>
      <c r="E100" s="399" t="s">
        <v>916</v>
      </c>
      <c r="F100" s="399" t="s">
        <v>1237</v>
      </c>
      <c r="G100" s="399" t="s">
        <v>1237</v>
      </c>
      <c r="H100" s="399" t="s">
        <v>1237</v>
      </c>
      <c r="I100" s="399" t="s">
        <v>1237</v>
      </c>
      <c r="J100" s="399" t="s">
        <v>2337</v>
      </c>
      <c r="K100" s="788">
        <v>44531</v>
      </c>
      <c r="L100" s="399">
        <v>0</v>
      </c>
      <c r="M100" s="399">
        <v>0</v>
      </c>
      <c r="N100" s="399">
        <v>98.341999999999999</v>
      </c>
      <c r="O100" s="399">
        <v>98.341999999999999</v>
      </c>
      <c r="P100" s="399">
        <v>98.341999999999999</v>
      </c>
      <c r="Q100" s="399">
        <v>98.341999999999999</v>
      </c>
      <c r="R100" s="399"/>
      <c r="S100" s="399">
        <v>707.13</v>
      </c>
      <c r="T100" s="399">
        <v>119.97</v>
      </c>
      <c r="U100" s="399"/>
      <c r="V100" s="399">
        <v>81338.6682</v>
      </c>
      <c r="W100" s="399">
        <v>81338.6682</v>
      </c>
      <c r="X100" s="399">
        <v>71694.268259999997</v>
      </c>
      <c r="Y100" s="399">
        <v>0</v>
      </c>
      <c r="Z100" s="399">
        <v>5988.5242474716833</v>
      </c>
      <c r="AA100" s="399">
        <v>0</v>
      </c>
      <c r="AB100" s="399">
        <v>0</v>
      </c>
      <c r="AC100" s="399">
        <v>0</v>
      </c>
      <c r="AD100" s="399">
        <v>10575.621068699824</v>
      </c>
      <c r="AE100" s="399">
        <v>50091.771097498269</v>
      </c>
      <c r="AF100" s="399">
        <v>11798.467626365989</v>
      </c>
      <c r="AG100" s="399">
        <v>0</v>
      </c>
      <c r="AH100" s="399">
        <v>0</v>
      </c>
      <c r="AI100" s="399">
        <v>0</v>
      </c>
      <c r="AJ100" s="399">
        <v>0</v>
      </c>
      <c r="AK100" s="399">
        <v>0</v>
      </c>
      <c r="AL100" s="399">
        <v>925.42043632876698</v>
      </c>
      <c r="AM100" s="399"/>
      <c r="AN100" s="399">
        <v>211.56302179118407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1747.774689049457</v>
      </c>
      <c r="BH100" s="399">
        <v>0</v>
      </c>
      <c r="BI100" s="399">
        <v>0</v>
      </c>
      <c r="BJ100" s="399">
        <v>0</v>
      </c>
      <c r="BK100" s="399">
        <v>27293.71</v>
      </c>
      <c r="BL100" s="399">
        <v>274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>
        <v>13546.242315415446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71692.810199999993</v>
      </c>
      <c r="CJ100" s="399">
        <v>-9645.8879999999917</v>
      </c>
      <c r="CK100" s="399"/>
      <c r="CL100" s="399"/>
      <c r="CM100" s="399"/>
      <c r="CN100" s="399"/>
      <c r="CO100" s="399">
        <v>-9644.3999400000048</v>
      </c>
      <c r="CP100" s="399">
        <v>0</v>
      </c>
      <c r="CQ100" s="399"/>
      <c r="CR100" s="399">
        <v>-743.30067740453887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-56.581475087261424</v>
      </c>
      <c r="DA100" s="399">
        <v>0</v>
      </c>
      <c r="DB100" s="399">
        <v>0</v>
      </c>
      <c r="DC100" s="399">
        <v>0</v>
      </c>
      <c r="DD100" s="399">
        <v>0</v>
      </c>
      <c r="DE100" s="399">
        <v>0</v>
      </c>
      <c r="DF100" s="399">
        <v>0</v>
      </c>
      <c r="DG100" s="399">
        <v>0</v>
      </c>
      <c r="DH100" s="399">
        <v>0</v>
      </c>
      <c r="DI100" s="399">
        <v>-590.36228534858856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-78.862760531227309</v>
      </c>
      <c r="DP100" s="399">
        <v>-17.494156437458287</v>
      </c>
      <c r="DQ100" s="399">
        <v>0</v>
      </c>
      <c r="DR100" s="399">
        <v>0</v>
      </c>
      <c r="DS100" s="399"/>
      <c r="DT100" s="399"/>
      <c r="DU100" s="399"/>
      <c r="DV100" s="399">
        <v>50091.771097498269</v>
      </c>
      <c r="DW100" s="399">
        <v>0</v>
      </c>
      <c r="DX100" s="399">
        <v>0</v>
      </c>
      <c r="DY100" s="399">
        <v>-9644.3999400000102</v>
      </c>
      <c r="DZ100" s="399">
        <v>0</v>
      </c>
      <c r="EA100" s="399">
        <v>0</v>
      </c>
      <c r="EB100" s="399">
        <v>0</v>
      </c>
      <c r="EC100" s="399">
        <v>-8901.0055629146227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0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229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8" customFormat="1">
      <c r="A101" s="399">
        <v>99</v>
      </c>
      <c r="B101" s="399" t="s">
        <v>2339</v>
      </c>
      <c r="C101" s="399" t="s">
        <v>2336</v>
      </c>
      <c r="D101" s="399" t="s">
        <v>1822</v>
      </c>
      <c r="E101" s="399" t="s">
        <v>916</v>
      </c>
      <c r="F101" s="399" t="s">
        <v>1237</v>
      </c>
      <c r="G101" s="399" t="s">
        <v>1237</v>
      </c>
      <c r="H101" s="399" t="s">
        <v>1237</v>
      </c>
      <c r="I101" s="399" t="s">
        <v>1237</v>
      </c>
      <c r="J101" s="399" t="s">
        <v>2337</v>
      </c>
      <c r="K101" s="788">
        <v>44531</v>
      </c>
      <c r="L101" s="399">
        <v>0</v>
      </c>
      <c r="M101" s="399">
        <v>0</v>
      </c>
      <c r="N101" s="399">
        <v>0.80700000000000005</v>
      </c>
      <c r="O101" s="399">
        <v>0.80700000000000005</v>
      </c>
      <c r="P101" s="399">
        <v>0.80700000000000005</v>
      </c>
      <c r="Q101" s="399">
        <v>0.80700000000000005</v>
      </c>
      <c r="R101" s="399"/>
      <c r="S101" s="399">
        <v>707.13</v>
      </c>
      <c r="T101" s="399">
        <v>119.97</v>
      </c>
      <c r="U101" s="399"/>
      <c r="V101" s="399">
        <v>667.46969999999999</v>
      </c>
      <c r="W101" s="399">
        <v>667.46969999999999</v>
      </c>
      <c r="X101" s="399">
        <v>588.32721000000004</v>
      </c>
      <c r="Y101" s="399">
        <v>0</v>
      </c>
      <c r="Z101" s="399">
        <v>49.142167819544539</v>
      </c>
      <c r="AA101" s="399">
        <v>0</v>
      </c>
      <c r="AB101" s="399">
        <v>0</v>
      </c>
      <c r="AC101" s="399">
        <v>0</v>
      </c>
      <c r="AD101" s="399">
        <v>86.784143117292288</v>
      </c>
      <c r="AE101" s="399">
        <v>411.05589957171003</v>
      </c>
      <c r="AF101" s="399">
        <v>96.818890956837905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7.5940523084472042</v>
      </c>
      <c r="AM101" s="399"/>
      <c r="AN101" s="399">
        <v>1.7360980922239282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14.342337699689979</v>
      </c>
      <c r="BH101" s="399">
        <v>0</v>
      </c>
      <c r="BI101" s="399">
        <v>0</v>
      </c>
      <c r="BJ101" s="399">
        <v>0</v>
      </c>
      <c r="BK101" s="399">
        <v>2757.9</v>
      </c>
      <c r="BL101" s="399">
        <v>6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111.16122865652788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590.51430000000005</v>
      </c>
      <c r="CJ101" s="399">
        <v>-76.985399999999913</v>
      </c>
      <c r="CK101" s="399"/>
      <c r="CL101" s="399"/>
      <c r="CM101" s="399"/>
      <c r="CN101" s="399"/>
      <c r="CO101" s="399">
        <v>-79.142490000000052</v>
      </c>
      <c r="CP101" s="399">
        <v>0</v>
      </c>
      <c r="CQ101" s="399"/>
      <c r="CR101" s="399">
        <v>-6.0995672923619964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-0.46431077663072529</v>
      </c>
      <c r="DA101" s="399">
        <v>0</v>
      </c>
      <c r="DB101" s="399">
        <v>0</v>
      </c>
      <c r="DC101" s="399">
        <v>0</v>
      </c>
      <c r="DD101" s="399">
        <v>0</v>
      </c>
      <c r="DE101" s="399">
        <v>0</v>
      </c>
      <c r="DF101" s="399">
        <v>0</v>
      </c>
      <c r="DG101" s="399">
        <v>0</v>
      </c>
      <c r="DH101" s="399">
        <v>0</v>
      </c>
      <c r="DI101" s="399">
        <v>-4.844546219075383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-0.64715226199081144</v>
      </c>
      <c r="DP101" s="399">
        <v>-0.14355803466503447</v>
      </c>
      <c r="DQ101" s="399">
        <v>0</v>
      </c>
      <c r="DR101" s="399">
        <v>0</v>
      </c>
      <c r="DS101" s="399"/>
      <c r="DT101" s="399"/>
      <c r="DU101" s="399"/>
      <c r="DV101" s="399">
        <v>411.05589957171003</v>
      </c>
      <c r="DW101" s="399">
        <v>0</v>
      </c>
      <c r="DX101" s="399">
        <v>0</v>
      </c>
      <c r="DY101" s="399">
        <v>-79.142490000000009</v>
      </c>
      <c r="DZ101" s="399">
        <v>0</v>
      </c>
      <c r="EA101" s="399">
        <v>0</v>
      </c>
      <c r="EB101" s="399">
        <v>0</v>
      </c>
      <c r="EC101" s="399">
        <v>-73.04215380277094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229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8" customFormat="1">
      <c r="A102" s="399">
        <v>100</v>
      </c>
      <c r="B102" s="399" t="s">
        <v>954</v>
      </c>
      <c r="C102" s="399" t="s">
        <v>2336</v>
      </c>
      <c r="D102" s="399" t="s">
        <v>2347</v>
      </c>
      <c r="E102" s="399" t="s">
        <v>892</v>
      </c>
      <c r="F102" s="399" t="s">
        <v>1237</v>
      </c>
      <c r="G102" s="399" t="s">
        <v>1237</v>
      </c>
      <c r="H102" s="399" t="s">
        <v>1237</v>
      </c>
      <c r="I102" s="399" t="s">
        <v>1237</v>
      </c>
      <c r="J102" s="399" t="s">
        <v>2337</v>
      </c>
      <c r="K102" s="788">
        <v>44531</v>
      </c>
      <c r="L102" s="399">
        <v>0</v>
      </c>
      <c r="M102" s="399">
        <v>0</v>
      </c>
      <c r="N102" s="399">
        <v>251.61</v>
      </c>
      <c r="O102" s="399">
        <v>251.61</v>
      </c>
      <c r="P102" s="399">
        <v>251.61</v>
      </c>
      <c r="Q102" s="399">
        <v>251.61</v>
      </c>
      <c r="R102" s="399"/>
      <c r="S102" s="399">
        <v>707.13</v>
      </c>
      <c r="T102" s="399">
        <v>119.97</v>
      </c>
      <c r="U102" s="399"/>
      <c r="V102" s="399">
        <v>208106.63099999999</v>
      </c>
      <c r="W102" s="399">
        <v>208106.63099999999</v>
      </c>
      <c r="X102" s="399">
        <v>183431.23829999997</v>
      </c>
      <c r="Y102" s="399">
        <v>0</v>
      </c>
      <c r="Z102" s="399">
        <v>15321.760650651302</v>
      </c>
      <c r="AA102" s="399">
        <v>0</v>
      </c>
      <c r="AB102" s="399">
        <v>0</v>
      </c>
      <c r="AC102" s="399">
        <v>0</v>
      </c>
      <c r="AD102" s="399">
        <v>27057.940829915628</v>
      </c>
      <c r="AE102" s="399">
        <v>128160.81151330602</v>
      </c>
      <c r="AF102" s="399">
        <v>30186.618529925632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2367.7069409273868</v>
      </c>
      <c r="AM102" s="399"/>
      <c r="AN102" s="399">
        <v>541.28827879115556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4471.7169623531545</v>
      </c>
      <c r="BH102" s="399">
        <v>0</v>
      </c>
      <c r="BI102" s="399">
        <v>0</v>
      </c>
      <c r="BJ102" s="399">
        <v>0</v>
      </c>
      <c r="BK102" s="399">
        <v>40897.230000000003</v>
      </c>
      <c r="BL102" s="399">
        <v>711</v>
      </c>
      <c r="BM102" s="399"/>
      <c r="BN102" s="399"/>
      <c r="BO102" s="399"/>
      <c r="BP102" s="399"/>
      <c r="BQ102" s="399"/>
      <c r="BR102" s="399">
        <v>22010.84279999998</v>
      </c>
      <c r="BS102" s="399"/>
      <c r="BT102" s="399"/>
      <c r="BU102" s="399"/>
      <c r="BV102" s="399">
        <v>34658.335492278784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161420.39550000004</v>
      </c>
      <c r="CJ102" s="399">
        <v>-21716.489100000006</v>
      </c>
      <c r="CK102" s="399"/>
      <c r="CL102" s="399"/>
      <c r="CM102" s="399"/>
      <c r="CN102" s="399"/>
      <c r="CO102" s="399">
        <v>-24675.392700000015</v>
      </c>
      <c r="CP102" s="399">
        <v>0</v>
      </c>
      <c r="CQ102" s="399"/>
      <c r="CR102" s="399">
        <v>-1901.7498468787817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-144.76485069152113</v>
      </c>
      <c r="DA102" s="399">
        <v>0</v>
      </c>
      <c r="DB102" s="399">
        <v>0</v>
      </c>
      <c r="DC102" s="399">
        <v>0</v>
      </c>
      <c r="DD102" s="399">
        <v>0</v>
      </c>
      <c r="DE102" s="399">
        <v>0</v>
      </c>
      <c r="DF102" s="399">
        <v>0</v>
      </c>
      <c r="DG102" s="399">
        <v>0</v>
      </c>
      <c r="DH102" s="399">
        <v>0</v>
      </c>
      <c r="DI102" s="399">
        <v>-1510.4538713526108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-201.77197105267442</v>
      </c>
      <c r="DP102" s="399">
        <v>-44.759153781994144</v>
      </c>
      <c r="DQ102" s="399">
        <v>0</v>
      </c>
      <c r="DR102" s="399">
        <v>0</v>
      </c>
      <c r="DS102" s="399"/>
      <c r="DT102" s="399"/>
      <c r="DU102" s="399"/>
      <c r="DV102" s="399">
        <v>128160.81151330602</v>
      </c>
      <c r="DW102" s="399">
        <v>0</v>
      </c>
      <c r="DX102" s="399">
        <v>0</v>
      </c>
      <c r="DY102" s="399">
        <v>-24675.392700000026</v>
      </c>
      <c r="DZ102" s="399">
        <v>0</v>
      </c>
      <c r="EA102" s="399">
        <v>0</v>
      </c>
      <c r="EB102" s="399">
        <v>0</v>
      </c>
      <c r="EC102" s="399">
        <v>-22773.403120588846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229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8" customFormat="1">
      <c r="A103" s="399">
        <v>101</v>
      </c>
      <c r="B103" s="399" t="s">
        <v>2339</v>
      </c>
      <c r="C103" s="399" t="s">
        <v>2336</v>
      </c>
      <c r="D103" s="399" t="s">
        <v>2347</v>
      </c>
      <c r="E103" s="399" t="s">
        <v>892</v>
      </c>
      <c r="F103" s="399" t="s">
        <v>1237</v>
      </c>
      <c r="G103" s="399" t="s">
        <v>1237</v>
      </c>
      <c r="H103" s="399" t="s">
        <v>1237</v>
      </c>
      <c r="I103" s="399" t="s">
        <v>1237</v>
      </c>
      <c r="J103" s="399" t="s">
        <v>2337</v>
      </c>
      <c r="K103" s="788">
        <v>44531</v>
      </c>
      <c r="L103" s="399">
        <v>0</v>
      </c>
      <c r="M103" s="399">
        <v>0</v>
      </c>
      <c r="N103" s="399">
        <v>10.541</v>
      </c>
      <c r="O103" s="399">
        <v>10.541</v>
      </c>
      <c r="P103" s="399">
        <v>10.541</v>
      </c>
      <c r="Q103" s="399">
        <v>10.541</v>
      </c>
      <c r="R103" s="399"/>
      <c r="S103" s="399">
        <v>707.13</v>
      </c>
      <c r="T103" s="399">
        <v>119.97</v>
      </c>
      <c r="U103" s="399"/>
      <c r="V103" s="399">
        <v>8718.4611000000004</v>
      </c>
      <c r="W103" s="399">
        <v>8718.4611000000004</v>
      </c>
      <c r="X103" s="399">
        <v>7684.7052299999996</v>
      </c>
      <c r="Y103" s="399">
        <v>0</v>
      </c>
      <c r="Z103" s="399">
        <v>641.89292563298511</v>
      </c>
      <c r="AA103" s="399">
        <v>0</v>
      </c>
      <c r="AB103" s="399">
        <v>0</v>
      </c>
      <c r="AC103" s="399">
        <v>0</v>
      </c>
      <c r="AD103" s="399">
        <v>1133.5708210649045</v>
      </c>
      <c r="AE103" s="399">
        <v>5369.1948418654219</v>
      </c>
      <c r="AF103" s="399">
        <v>1264.6442745675693</v>
      </c>
      <c r="AG103" s="399">
        <v>0</v>
      </c>
      <c r="AH103" s="399">
        <v>0</v>
      </c>
      <c r="AI103" s="399">
        <v>0</v>
      </c>
      <c r="AJ103" s="399">
        <v>0</v>
      </c>
      <c r="AK103" s="399">
        <v>0</v>
      </c>
      <c r="AL103" s="399">
        <v>99.193191305256477</v>
      </c>
      <c r="AM103" s="399"/>
      <c r="AN103" s="399">
        <v>22.676840136471409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187.33901077129127</v>
      </c>
      <c r="BH103" s="399">
        <v>0</v>
      </c>
      <c r="BI103" s="399">
        <v>0</v>
      </c>
      <c r="BJ103" s="399">
        <v>0</v>
      </c>
      <c r="BK103" s="399">
        <v>4818.9799999999996</v>
      </c>
      <c r="BL103" s="399">
        <v>12</v>
      </c>
      <c r="BM103" s="399"/>
      <c r="BN103" s="399"/>
      <c r="BO103" s="399"/>
      <c r="BP103" s="399"/>
      <c r="BQ103" s="399"/>
      <c r="BR103" s="399">
        <v>922.12667999999917</v>
      </c>
      <c r="BS103" s="399"/>
      <c r="BT103" s="399"/>
      <c r="BU103" s="399"/>
      <c r="BV103" s="399">
        <v>1451.9832853388605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6761.936999999999</v>
      </c>
      <c r="CJ103" s="399">
        <v>-910.46526000000176</v>
      </c>
      <c r="CK103" s="399"/>
      <c r="CL103" s="399"/>
      <c r="CM103" s="399"/>
      <c r="CN103" s="399"/>
      <c r="CO103" s="399">
        <v>-1033.7558700000006</v>
      </c>
      <c r="CP103" s="399">
        <v>0</v>
      </c>
      <c r="CQ103" s="399"/>
      <c r="CR103" s="399">
        <v>-79.672290989823523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-6.0648078023104972</v>
      </c>
      <c r="DA103" s="399">
        <v>0</v>
      </c>
      <c r="DB103" s="399">
        <v>0</v>
      </c>
      <c r="DC103" s="399">
        <v>0</v>
      </c>
      <c r="DD103" s="399">
        <v>0</v>
      </c>
      <c r="DE103" s="399">
        <v>0</v>
      </c>
      <c r="DF103" s="399">
        <v>0</v>
      </c>
      <c r="DG103" s="399">
        <v>0</v>
      </c>
      <c r="DH103" s="399">
        <v>0</v>
      </c>
      <c r="DI103" s="399">
        <v>-63.279258606287044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-8.4530755807250841</v>
      </c>
      <c r="DP103" s="399">
        <v>-1.8751490005007803</v>
      </c>
      <c r="DQ103" s="399">
        <v>0</v>
      </c>
      <c r="DR103" s="399">
        <v>0</v>
      </c>
      <c r="DS103" s="399"/>
      <c r="DT103" s="399"/>
      <c r="DU103" s="399"/>
      <c r="DV103" s="399">
        <v>5369.1948418654219</v>
      </c>
      <c r="DW103" s="399">
        <v>0</v>
      </c>
      <c r="DX103" s="399">
        <v>0</v>
      </c>
      <c r="DY103" s="399">
        <v>-1033.75587</v>
      </c>
      <c r="DZ103" s="399">
        <v>0</v>
      </c>
      <c r="EA103" s="399">
        <v>0</v>
      </c>
      <c r="EB103" s="399">
        <v>0</v>
      </c>
      <c r="EC103" s="399">
        <v>-954.07353560719821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229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8" customFormat="1">
      <c r="A104" s="399">
        <v>102</v>
      </c>
      <c r="B104" s="399" t="s">
        <v>954</v>
      </c>
      <c r="C104" s="399" t="s">
        <v>2336</v>
      </c>
      <c r="D104" s="399" t="s">
        <v>1822</v>
      </c>
      <c r="E104" s="399" t="s">
        <v>2348</v>
      </c>
      <c r="F104" s="399" t="s">
        <v>1237</v>
      </c>
      <c r="G104" s="399" t="s">
        <v>1237</v>
      </c>
      <c r="H104" s="399" t="s">
        <v>1237</v>
      </c>
      <c r="I104" s="399" t="s">
        <v>1237</v>
      </c>
      <c r="J104" s="399" t="s">
        <v>2337</v>
      </c>
      <c r="K104" s="788">
        <v>44531</v>
      </c>
      <c r="L104" s="399">
        <v>0</v>
      </c>
      <c r="M104" s="399">
        <v>0</v>
      </c>
      <c r="N104" s="399">
        <v>26.853000000000002</v>
      </c>
      <c r="O104" s="399">
        <v>26.853000000000002</v>
      </c>
      <c r="P104" s="399">
        <v>26.853000000000002</v>
      </c>
      <c r="Q104" s="399">
        <v>26.853000000000002</v>
      </c>
      <c r="R104" s="399"/>
      <c r="S104" s="399">
        <v>707.13</v>
      </c>
      <c r="T104" s="399">
        <v>119.97</v>
      </c>
      <c r="U104" s="399"/>
      <c r="V104" s="399">
        <v>22210.116300000002</v>
      </c>
      <c r="W104" s="399">
        <v>22210.116300000002</v>
      </c>
      <c r="X104" s="399">
        <v>19576.642589999999</v>
      </c>
      <c r="Y104" s="399">
        <v>0</v>
      </c>
      <c r="Z104" s="399">
        <v>1635.2102013113129</v>
      </c>
      <c r="AA104" s="399">
        <v>0</v>
      </c>
      <c r="AB104" s="399">
        <v>0</v>
      </c>
      <c r="AC104" s="399">
        <v>0</v>
      </c>
      <c r="AD104" s="399">
        <v>2887.7504276687109</v>
      </c>
      <c r="AE104" s="399">
        <v>13677.923260469801</v>
      </c>
      <c r="AF104" s="399">
        <v>3221.6575946269745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252.69279633052389</v>
      </c>
      <c r="AM104" s="399"/>
      <c r="AN104" s="399">
        <v>57.76882536615755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477.242619888197</v>
      </c>
      <c r="BH104" s="399">
        <v>0</v>
      </c>
      <c r="BI104" s="399">
        <v>0</v>
      </c>
      <c r="BJ104" s="399">
        <v>0</v>
      </c>
      <c r="BK104" s="399">
        <v>7203.65</v>
      </c>
      <c r="BL104" s="399">
        <v>81</v>
      </c>
      <c r="BM104" s="399"/>
      <c r="BN104" s="399"/>
      <c r="BO104" s="399"/>
      <c r="BP104" s="399"/>
      <c r="BQ104" s="399"/>
      <c r="BR104" s="399"/>
      <c r="BS104" s="399"/>
      <c r="BT104" s="399"/>
      <c r="BU104" s="399"/>
      <c r="BV104" s="399">
        <v>3698.9002145151717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19574.4555</v>
      </c>
      <c r="CJ104" s="399">
        <v>-2635.6907999999967</v>
      </c>
      <c r="CK104" s="399"/>
      <c r="CL104" s="399"/>
      <c r="CM104" s="399"/>
      <c r="CN104" s="399"/>
      <c r="CO104" s="399">
        <v>-2633.4737100000016</v>
      </c>
      <c r="CP104" s="399">
        <v>0</v>
      </c>
      <c r="CQ104" s="399"/>
      <c r="CR104" s="399">
        <v>-202.96366852762912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-15.449984243946801</v>
      </c>
      <c r="DA104" s="399">
        <v>0</v>
      </c>
      <c r="DB104" s="399">
        <v>0</v>
      </c>
      <c r="DC104" s="399">
        <v>0</v>
      </c>
      <c r="DD104" s="399">
        <v>0</v>
      </c>
      <c r="DE104" s="399">
        <v>0</v>
      </c>
      <c r="DF104" s="399">
        <v>0</v>
      </c>
      <c r="DG104" s="399">
        <v>0</v>
      </c>
      <c r="DH104" s="399">
        <v>0</v>
      </c>
      <c r="DI104" s="399">
        <v>-161.20272567637085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-21.534051662006533</v>
      </c>
      <c r="DP104" s="399">
        <v>-4.7769069453038071</v>
      </c>
      <c r="DQ104" s="399">
        <v>0</v>
      </c>
      <c r="DR104" s="399">
        <v>0</v>
      </c>
      <c r="DS104" s="399"/>
      <c r="DT104" s="399"/>
      <c r="DU104" s="399"/>
      <c r="DV104" s="399">
        <v>13677.923260469801</v>
      </c>
      <c r="DW104" s="399">
        <v>0</v>
      </c>
      <c r="DX104" s="399">
        <v>0</v>
      </c>
      <c r="DY104" s="399">
        <v>-2633.473710000002</v>
      </c>
      <c r="DZ104" s="399">
        <v>0</v>
      </c>
      <c r="EA104" s="399">
        <v>0</v>
      </c>
      <c r="EB104" s="399">
        <v>0</v>
      </c>
      <c r="EC104" s="399">
        <v>-2430.4844560914607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229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8" customFormat="1">
      <c r="A105" s="399">
        <v>103</v>
      </c>
      <c r="B105" s="399" t="s">
        <v>954</v>
      </c>
      <c r="C105" s="399" t="s">
        <v>2336</v>
      </c>
      <c r="D105" s="399" t="s">
        <v>2349</v>
      </c>
      <c r="E105" s="399" t="s">
        <v>2350</v>
      </c>
      <c r="F105" s="399" t="s">
        <v>2351</v>
      </c>
      <c r="G105" s="399" t="s">
        <v>1237</v>
      </c>
      <c r="H105" s="399" t="s">
        <v>1237</v>
      </c>
      <c r="I105" s="399" t="s">
        <v>1237</v>
      </c>
      <c r="J105" s="399" t="s">
        <v>2337</v>
      </c>
      <c r="K105" s="788">
        <v>44531</v>
      </c>
      <c r="L105" s="399">
        <v>0</v>
      </c>
      <c r="M105" s="399">
        <v>0</v>
      </c>
      <c r="N105" s="399">
        <v>83.29</v>
      </c>
      <c r="O105" s="399">
        <v>83.29</v>
      </c>
      <c r="P105" s="399">
        <v>83.29</v>
      </c>
      <c r="Q105" s="399">
        <v>83.29</v>
      </c>
      <c r="R105" s="399"/>
      <c r="S105" s="399">
        <v>388.92</v>
      </c>
      <c r="T105" s="399">
        <v>65.989999999999995</v>
      </c>
      <c r="U105" s="399"/>
      <c r="V105" s="399">
        <v>37889.4539</v>
      </c>
      <c r="W105" s="399">
        <v>37889.4539</v>
      </c>
      <c r="X105" s="399">
        <v>33396.791300000004</v>
      </c>
      <c r="Y105" s="399">
        <v>0</v>
      </c>
      <c r="Z105" s="399">
        <v>2789.5639860339879</v>
      </c>
      <c r="AA105" s="399">
        <v>0</v>
      </c>
      <c r="AB105" s="399">
        <v>0</v>
      </c>
      <c r="AC105" s="399">
        <v>0</v>
      </c>
      <c r="AD105" s="399">
        <v>4926.3174772386583</v>
      </c>
      <c r="AE105" s="399">
        <v>23333.661996815681</v>
      </c>
      <c r="AF105" s="399">
        <v>5495.9417413720721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431.0777437717623</v>
      </c>
      <c r="AM105" s="399"/>
      <c r="AN105" s="399">
        <v>98.549920143410418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814.14537652285935</v>
      </c>
      <c r="BH105" s="399">
        <v>0</v>
      </c>
      <c r="BI105" s="399">
        <v>0</v>
      </c>
      <c r="BJ105" s="399">
        <v>0</v>
      </c>
      <c r="BK105" s="399">
        <v>15074.64</v>
      </c>
      <c r="BL105" s="399">
        <v>2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>
        <v>6310.087117894931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33396.791300000004</v>
      </c>
      <c r="CJ105" s="399">
        <v>-4492.6925999999949</v>
      </c>
      <c r="CK105" s="399"/>
      <c r="CL105" s="399"/>
      <c r="CM105" s="399"/>
      <c r="CN105" s="399"/>
      <c r="CO105" s="399">
        <v>-4492.6626000000006</v>
      </c>
      <c r="CP105" s="399">
        <v>0</v>
      </c>
      <c r="CQ105" s="399"/>
      <c r="CR105" s="399">
        <v>-346.24303330789007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-26.356684661803229</v>
      </c>
      <c r="DA105" s="399">
        <v>0</v>
      </c>
      <c r="DB105" s="399">
        <v>0</v>
      </c>
      <c r="DC105" s="399">
        <v>0</v>
      </c>
      <c r="DD105" s="399">
        <v>0</v>
      </c>
      <c r="DE105" s="399">
        <v>0</v>
      </c>
      <c r="DF105" s="399">
        <v>0</v>
      </c>
      <c r="DG105" s="399">
        <v>0</v>
      </c>
      <c r="DH105" s="399">
        <v>0</v>
      </c>
      <c r="DI105" s="399">
        <v>-275.0015365833151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-36.735714430814994</v>
      </c>
      <c r="DP105" s="399">
        <v>-8.1490976319556268</v>
      </c>
      <c r="DQ105" s="399">
        <v>0</v>
      </c>
      <c r="DR105" s="399">
        <v>0</v>
      </c>
      <c r="DS105" s="399"/>
      <c r="DT105" s="399"/>
      <c r="DU105" s="399"/>
      <c r="DV105" s="399">
        <v>23333.661996815681</v>
      </c>
      <c r="DW105" s="399">
        <v>0</v>
      </c>
      <c r="DX105" s="399">
        <v>0</v>
      </c>
      <c r="DY105" s="399">
        <v>-4492.6625999999997</v>
      </c>
      <c r="DZ105" s="399">
        <v>0</v>
      </c>
      <c r="EA105" s="399">
        <v>0</v>
      </c>
      <c r="EB105" s="399">
        <v>0</v>
      </c>
      <c r="EC105" s="399">
        <v>-4146.2509846691573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229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8" customFormat="1">
      <c r="A106" s="399">
        <v>104</v>
      </c>
      <c r="B106" s="399" t="s">
        <v>954</v>
      </c>
      <c r="C106" s="399" t="s">
        <v>2336</v>
      </c>
      <c r="D106" s="399" t="s">
        <v>1822</v>
      </c>
      <c r="E106" s="399" t="s">
        <v>919</v>
      </c>
      <c r="F106" s="399" t="s">
        <v>2352</v>
      </c>
      <c r="G106" s="399" t="s">
        <v>1237</v>
      </c>
      <c r="H106" s="399" t="s">
        <v>1237</v>
      </c>
      <c r="I106" s="399" t="s">
        <v>1237</v>
      </c>
      <c r="J106" s="399" t="s">
        <v>2337</v>
      </c>
      <c r="K106" s="788">
        <v>44531</v>
      </c>
      <c r="L106" s="399">
        <v>0</v>
      </c>
      <c r="M106" s="399">
        <v>0</v>
      </c>
      <c r="N106" s="399">
        <v>4.399</v>
      </c>
      <c r="O106" s="399">
        <v>4.1350600000000002</v>
      </c>
      <c r="P106" s="399">
        <v>4.399</v>
      </c>
      <c r="Q106" s="399">
        <v>4.1350600000000002</v>
      </c>
      <c r="R106" s="399"/>
      <c r="S106" s="399">
        <v>707.13</v>
      </c>
      <c r="T106" s="399">
        <v>119.97</v>
      </c>
      <c r="U106" s="399"/>
      <c r="V106" s="399">
        <v>3638.4129000000003</v>
      </c>
      <c r="W106" s="399">
        <v>3638.4129000000003</v>
      </c>
      <c r="X106" s="399">
        <v>3207.0029699999996</v>
      </c>
      <c r="Y106" s="399">
        <v>0</v>
      </c>
      <c r="Z106" s="399">
        <v>267.8765752641591</v>
      </c>
      <c r="AA106" s="399">
        <v>0</v>
      </c>
      <c r="AB106" s="399">
        <v>0</v>
      </c>
      <c r="AC106" s="399">
        <v>0</v>
      </c>
      <c r="AD106" s="399">
        <v>473.0649883184247</v>
      </c>
      <c r="AE106" s="399">
        <v>2240.687611172184</v>
      </c>
      <c r="AF106" s="399">
        <v>527.76493348095403</v>
      </c>
      <c r="AG106" s="399">
        <v>0</v>
      </c>
      <c r="AH106" s="399">
        <v>0</v>
      </c>
      <c r="AI106" s="399">
        <v>0</v>
      </c>
      <c r="AJ106" s="399">
        <v>0</v>
      </c>
      <c r="AK106" s="399">
        <v>0</v>
      </c>
      <c r="AL106" s="399">
        <v>41.395583773059791</v>
      </c>
      <c r="AM106" s="399"/>
      <c r="AN106" s="399">
        <v>9.4635632065589341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78.180847014790842</v>
      </c>
      <c r="BH106" s="399">
        <v>0</v>
      </c>
      <c r="BI106" s="399">
        <v>0</v>
      </c>
      <c r="BJ106" s="399">
        <v>0</v>
      </c>
      <c r="BK106" s="399">
        <v>1213.03</v>
      </c>
      <c r="BL106" s="399">
        <v>7</v>
      </c>
      <c r="BM106" s="399"/>
      <c r="BN106" s="399"/>
      <c r="BO106" s="399"/>
      <c r="BP106" s="399"/>
      <c r="BQ106" s="399">
        <v>192.42017819999987</v>
      </c>
      <c r="BR106" s="399"/>
      <c r="BS106" s="399"/>
      <c r="BT106" s="399"/>
      <c r="BU106" s="399"/>
      <c r="BV106" s="399">
        <v>605.94578049574488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3018.1841999999997</v>
      </c>
      <c r="CJ106" s="399">
        <v>-401.95392600000105</v>
      </c>
      <c r="CK106" s="399"/>
      <c r="CL106" s="399"/>
      <c r="CM106" s="399"/>
      <c r="CN106" s="399"/>
      <c r="CO106" s="399">
        <v>-431.4099300000002</v>
      </c>
      <c r="CP106" s="399">
        <v>0</v>
      </c>
      <c r="CQ106" s="399"/>
      <c r="CR106" s="399">
        <v>-33.249066318587666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-2.5309827836413206</v>
      </c>
      <c r="DA106" s="399">
        <v>0</v>
      </c>
      <c r="DB106" s="399">
        <v>0</v>
      </c>
      <c r="DC106" s="399">
        <v>0</v>
      </c>
      <c r="DD106" s="399">
        <v>0</v>
      </c>
      <c r="DE106" s="399">
        <v>0</v>
      </c>
      <c r="DF106" s="399">
        <v>0</v>
      </c>
      <c r="DG106" s="399">
        <v>0</v>
      </c>
      <c r="DH106" s="399">
        <v>0</v>
      </c>
      <c r="DI106" s="399">
        <v>-26.407879575852036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-3.5276614628222802</v>
      </c>
      <c r="DP106" s="399">
        <v>-0.78254249627197936</v>
      </c>
      <c r="DQ106" s="399">
        <v>0</v>
      </c>
      <c r="DR106" s="399">
        <v>0</v>
      </c>
      <c r="DS106" s="399"/>
      <c r="DT106" s="399"/>
      <c r="DU106" s="399"/>
      <c r="DV106" s="399">
        <v>2240.687611172184</v>
      </c>
      <c r="DW106" s="399">
        <v>0</v>
      </c>
      <c r="DX106" s="399">
        <v>0</v>
      </c>
      <c r="DY106" s="399">
        <v>-431.40993000000026</v>
      </c>
      <c r="DZ106" s="399">
        <v>0</v>
      </c>
      <c r="EA106" s="399">
        <v>0</v>
      </c>
      <c r="EB106" s="399">
        <v>0</v>
      </c>
      <c r="EC106" s="399">
        <v>-398.15667234001194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229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8" customFormat="1">
      <c r="A107" s="399">
        <v>105</v>
      </c>
      <c r="B107" s="399" t="s">
        <v>954</v>
      </c>
      <c r="C107" s="399" t="s">
        <v>2344</v>
      </c>
      <c r="D107" s="399" t="s">
        <v>533</v>
      </c>
      <c r="E107" s="399" t="s">
        <v>919</v>
      </c>
      <c r="F107" s="399" t="s">
        <v>2352</v>
      </c>
      <c r="G107" s="399" t="s">
        <v>1237</v>
      </c>
      <c r="H107" s="399" t="s">
        <v>1237</v>
      </c>
      <c r="I107" s="399" t="s">
        <v>891</v>
      </c>
      <c r="J107" s="399" t="s">
        <v>2337</v>
      </c>
      <c r="K107" s="788">
        <v>44531</v>
      </c>
      <c r="L107" s="399">
        <v>0</v>
      </c>
      <c r="M107" s="399">
        <v>0</v>
      </c>
      <c r="N107" s="399">
        <v>5.7910000000000004</v>
      </c>
      <c r="O107" s="399">
        <v>5.4435399999999996</v>
      </c>
      <c r="P107" s="399">
        <v>5.7910000000000004</v>
      </c>
      <c r="Q107" s="399">
        <v>5.4435399999999996</v>
      </c>
      <c r="R107" s="399"/>
      <c r="S107" s="399">
        <v>3312.96</v>
      </c>
      <c r="T107" s="399">
        <v>119.97</v>
      </c>
      <c r="U107" s="399"/>
      <c r="V107" s="399">
        <v>19880.09763</v>
      </c>
      <c r="W107" s="399">
        <v>19880.09763</v>
      </c>
      <c r="X107" s="399">
        <v>17256.079710000002</v>
      </c>
      <c r="Y107" s="399">
        <v>0</v>
      </c>
      <c r="Z107" s="399">
        <v>306.79875544410726</v>
      </c>
      <c r="AA107" s="399">
        <v>0</v>
      </c>
      <c r="AB107" s="399">
        <v>0</v>
      </c>
      <c r="AC107" s="399">
        <v>0</v>
      </c>
      <c r="AD107" s="399">
        <v>4329.5774750046648</v>
      </c>
      <c r="AE107" s="399">
        <v>14438.067985677637</v>
      </c>
      <c r="AF107" s="399">
        <v>694.76852234330647</v>
      </c>
      <c r="AG107" s="399">
        <v>0</v>
      </c>
      <c r="AH107" s="399">
        <v>0</v>
      </c>
      <c r="AI107" s="399">
        <v>0</v>
      </c>
      <c r="AJ107" s="399">
        <v>0</v>
      </c>
      <c r="AK107" s="399">
        <v>0</v>
      </c>
      <c r="AL107" s="399">
        <v>54.494618238188053</v>
      </c>
      <c r="AM107" s="399"/>
      <c r="AN107" s="399">
        <v>4.8686789688739713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51.562180321843606</v>
      </c>
      <c r="BH107" s="399">
        <v>0</v>
      </c>
      <c r="BI107" s="399">
        <v>0</v>
      </c>
      <c r="BJ107" s="399">
        <v>0</v>
      </c>
      <c r="BK107" s="399">
        <v>0</v>
      </c>
      <c r="BL107" s="399">
        <v>0</v>
      </c>
      <c r="BM107" s="399"/>
      <c r="BN107" s="399"/>
      <c r="BO107" s="399"/>
      <c r="BP107" s="399"/>
      <c r="BQ107" s="399">
        <v>1035.3647826000024</v>
      </c>
      <c r="BR107" s="399"/>
      <c r="BS107" s="399"/>
      <c r="BT107" s="399"/>
      <c r="BU107" s="399"/>
      <c r="BV107" s="399">
        <v>746.33070266515006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16210.166400000002</v>
      </c>
      <c r="CJ107" s="399">
        <v>-2477.1553721999917</v>
      </c>
      <c r="CK107" s="399"/>
      <c r="CL107" s="399"/>
      <c r="CM107" s="399"/>
      <c r="CN107" s="399"/>
      <c r="CO107" s="399">
        <v>-2624.0179199999993</v>
      </c>
      <c r="CP107" s="399">
        <v>0</v>
      </c>
      <c r="CQ107" s="399"/>
      <c r="CR107" s="399">
        <v>-58.455464838503758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-23.164018306740218</v>
      </c>
      <c r="DA107" s="399">
        <v>0</v>
      </c>
      <c r="DB107" s="399">
        <v>0</v>
      </c>
      <c r="DC107" s="399">
        <v>0</v>
      </c>
      <c r="DD107" s="399">
        <v>0</v>
      </c>
      <c r="DE107" s="399">
        <v>0</v>
      </c>
      <c r="DF107" s="399">
        <v>0</v>
      </c>
      <c r="DG107" s="399">
        <v>0</v>
      </c>
      <c r="DH107" s="399">
        <v>0</v>
      </c>
      <c r="DI107" s="399">
        <v>-30.244916263393861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-4.6439389704941618</v>
      </c>
      <c r="DP107" s="399">
        <v>-0.40259129787487336</v>
      </c>
      <c r="DQ107" s="399">
        <v>0</v>
      </c>
      <c r="DR107" s="399">
        <v>0</v>
      </c>
      <c r="DS107" s="399"/>
      <c r="DT107" s="399"/>
      <c r="DU107" s="399"/>
      <c r="DV107" s="399">
        <v>14438.067985677637</v>
      </c>
      <c r="DW107" s="399">
        <v>0</v>
      </c>
      <c r="DX107" s="399">
        <v>0</v>
      </c>
      <c r="DY107" s="399">
        <v>-2624.0179199999984</v>
      </c>
      <c r="DZ107" s="399">
        <v>0</v>
      </c>
      <c r="EA107" s="399">
        <v>0</v>
      </c>
      <c r="EB107" s="399">
        <v>0</v>
      </c>
      <c r="EC107" s="399">
        <v>-2565.5575884533591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229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8" customFormat="1">
      <c r="A108" s="399">
        <v>106</v>
      </c>
      <c r="B108" s="399" t="s">
        <v>954</v>
      </c>
      <c r="C108" s="399" t="s">
        <v>2344</v>
      </c>
      <c r="D108" s="399" t="s">
        <v>533</v>
      </c>
      <c r="E108" s="399" t="s">
        <v>919</v>
      </c>
      <c r="F108" s="399" t="s">
        <v>2352</v>
      </c>
      <c r="G108" s="399" t="s">
        <v>1237</v>
      </c>
      <c r="H108" s="399" t="s">
        <v>1237</v>
      </c>
      <c r="I108" s="399" t="s">
        <v>2322</v>
      </c>
      <c r="J108" s="399" t="s">
        <v>2337</v>
      </c>
      <c r="K108" s="788">
        <v>44531</v>
      </c>
      <c r="L108" s="399">
        <v>0</v>
      </c>
      <c r="M108" s="399">
        <v>0</v>
      </c>
      <c r="N108" s="399">
        <v>44.106000000000002</v>
      </c>
      <c r="O108" s="399">
        <v>41.45964</v>
      </c>
      <c r="P108" s="399">
        <v>44.106000000000002</v>
      </c>
      <c r="Q108" s="399">
        <v>41.45964</v>
      </c>
      <c r="R108" s="399"/>
      <c r="S108" s="399">
        <v>72.13</v>
      </c>
      <c r="T108" s="399">
        <v>119.97</v>
      </c>
      <c r="U108" s="399"/>
      <c r="V108" s="399">
        <v>8472.7626</v>
      </c>
      <c r="W108" s="399">
        <v>8472.7626</v>
      </c>
      <c r="X108" s="399">
        <v>8204.1570600000014</v>
      </c>
      <c r="Y108" s="399">
        <v>0</v>
      </c>
      <c r="Z108" s="399">
        <v>2336.6717160452072</v>
      </c>
      <c r="AA108" s="399">
        <v>0</v>
      </c>
      <c r="AB108" s="399">
        <v>0</v>
      </c>
      <c r="AC108" s="399">
        <v>0</v>
      </c>
      <c r="AD108" s="399">
        <v>0</v>
      </c>
      <c r="AE108" s="399">
        <v>0</v>
      </c>
      <c r="AF108" s="399">
        <v>5291.5663005480701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415.04742393602527</v>
      </c>
      <c r="AM108" s="399"/>
      <c r="AN108" s="399">
        <v>37.081325263539178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392.71309364103502</v>
      </c>
      <c r="BH108" s="399">
        <v>0</v>
      </c>
      <c r="BI108" s="399">
        <v>0</v>
      </c>
      <c r="BJ108" s="399">
        <v>0</v>
      </c>
      <c r="BK108" s="399">
        <v>0</v>
      </c>
      <c r="BL108" s="399">
        <v>0</v>
      </c>
      <c r="BM108" s="399"/>
      <c r="BN108" s="399"/>
      <c r="BO108" s="399"/>
      <c r="BP108" s="399"/>
      <c r="BQ108" s="399">
        <v>492.24942360000028</v>
      </c>
      <c r="BR108" s="399"/>
      <c r="BS108" s="399"/>
      <c r="BT108" s="399"/>
      <c r="BU108" s="399"/>
      <c r="BV108" s="399">
        <v>5684.279394189105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7711.9745999999996</v>
      </c>
      <c r="CJ108" s="399">
        <v>-252.45224400000097</v>
      </c>
      <c r="CK108" s="399"/>
      <c r="CL108" s="399"/>
      <c r="CM108" s="399"/>
      <c r="CN108" s="399"/>
      <c r="CO108" s="399">
        <v>-268.60553999999951</v>
      </c>
      <c r="CP108" s="399">
        <v>0</v>
      </c>
      <c r="CQ108" s="399"/>
      <c r="CR108" s="399">
        <v>-268.79028505093083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0</v>
      </c>
      <c r="DA108" s="399">
        <v>0</v>
      </c>
      <c r="DB108" s="399">
        <v>0</v>
      </c>
      <c r="DC108" s="399">
        <v>0</v>
      </c>
      <c r="DD108" s="399">
        <v>0</v>
      </c>
      <c r="DE108" s="399">
        <v>0</v>
      </c>
      <c r="DF108" s="399">
        <v>0</v>
      </c>
      <c r="DG108" s="399">
        <v>0</v>
      </c>
      <c r="DH108" s="399">
        <v>0</v>
      </c>
      <c r="DI108" s="399">
        <v>-230.35439072927829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-35.36963775386215</v>
      </c>
      <c r="DP108" s="399">
        <v>-3.0662565677895302</v>
      </c>
      <c r="DQ108" s="399">
        <v>0</v>
      </c>
      <c r="DR108" s="399">
        <v>0</v>
      </c>
      <c r="DS108" s="399"/>
      <c r="DT108" s="399"/>
      <c r="DU108" s="399"/>
      <c r="DV108" s="399">
        <v>0</v>
      </c>
      <c r="DW108" s="399">
        <v>0</v>
      </c>
      <c r="DX108" s="399">
        <v>0</v>
      </c>
      <c r="DY108" s="399">
        <v>-268.60553999999956</v>
      </c>
      <c r="DZ108" s="399">
        <v>0</v>
      </c>
      <c r="EA108" s="399">
        <v>0</v>
      </c>
      <c r="EB108" s="399">
        <v>0</v>
      </c>
      <c r="EC108" s="399">
        <v>0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229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8" customFormat="1">
      <c r="A109" s="399">
        <v>107</v>
      </c>
      <c r="B109" s="399" t="s">
        <v>954</v>
      </c>
      <c r="C109" s="399" t="s">
        <v>2344</v>
      </c>
      <c r="D109" s="399" t="s">
        <v>533</v>
      </c>
      <c r="E109" s="399" t="s">
        <v>919</v>
      </c>
      <c r="F109" s="399" t="s">
        <v>2352</v>
      </c>
      <c r="G109" s="399" t="s">
        <v>1237</v>
      </c>
      <c r="H109" s="399" t="s">
        <v>1237</v>
      </c>
      <c r="I109" s="399" t="s">
        <v>1237</v>
      </c>
      <c r="J109" s="399" t="s">
        <v>2337</v>
      </c>
      <c r="K109" s="788">
        <v>44531</v>
      </c>
      <c r="L109" s="399">
        <v>100</v>
      </c>
      <c r="M109" s="399">
        <v>94</v>
      </c>
      <c r="N109" s="399">
        <v>0</v>
      </c>
      <c r="O109" s="399">
        <v>0</v>
      </c>
      <c r="P109" s="399">
        <v>0</v>
      </c>
      <c r="Q109" s="399">
        <v>0</v>
      </c>
      <c r="R109" s="399">
        <v>46.29</v>
      </c>
      <c r="S109" s="399"/>
      <c r="T109" s="399"/>
      <c r="U109" s="399">
        <v>4629</v>
      </c>
      <c r="V109" s="399"/>
      <c r="W109" s="399">
        <v>4629</v>
      </c>
      <c r="X109" s="399">
        <v>4115</v>
      </c>
      <c r="Y109" s="399">
        <v>0</v>
      </c>
      <c r="Z109" s="399">
        <v>0</v>
      </c>
      <c r="AA109" s="399">
        <v>0</v>
      </c>
      <c r="AB109" s="399">
        <v>0</v>
      </c>
      <c r="AC109" s="399">
        <v>0</v>
      </c>
      <c r="AD109" s="399">
        <v>1791.3012373515901</v>
      </c>
      <c r="AE109" s="399">
        <v>2837.3428309380402</v>
      </c>
      <c r="AF109" s="399"/>
      <c r="AG109" s="399"/>
      <c r="AH109" s="399"/>
      <c r="AI109" s="399">
        <v>0</v>
      </c>
      <c r="AJ109" s="399">
        <v>0</v>
      </c>
      <c r="AK109" s="399">
        <v>0</v>
      </c>
      <c r="AL109" s="399">
        <v>0</v>
      </c>
      <c r="AM109" s="399"/>
      <c r="AN109" s="399">
        <v>0</v>
      </c>
      <c r="AO109" s="399">
        <v>0</v>
      </c>
      <c r="AP109" s="399">
        <v>0</v>
      </c>
      <c r="AQ109" s="399">
        <v>0</v>
      </c>
      <c r="AR109" s="399">
        <v>0</v>
      </c>
      <c r="AS109" s="399"/>
      <c r="AT109" s="399"/>
      <c r="AU109" s="399">
        <v>0</v>
      </c>
      <c r="AV109" s="399">
        <v>0</v>
      </c>
      <c r="AW109" s="399">
        <v>0</v>
      </c>
      <c r="AX109" s="399"/>
      <c r="AY109" s="399"/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/>
      <c r="BG109" s="399">
        <v>0</v>
      </c>
      <c r="BH109" s="399">
        <v>0</v>
      </c>
      <c r="BI109" s="399">
        <v>0</v>
      </c>
      <c r="BJ109" s="399">
        <v>0</v>
      </c>
      <c r="BK109" s="399">
        <v>11628.69</v>
      </c>
      <c r="BL109" s="399">
        <v>1</v>
      </c>
      <c r="BM109" s="399"/>
      <c r="BN109" s="399"/>
      <c r="BO109" s="399"/>
      <c r="BP109" s="399"/>
      <c r="BQ109" s="399">
        <v>246.89999999999998</v>
      </c>
      <c r="BR109" s="399"/>
      <c r="BS109" s="399"/>
      <c r="BT109" s="399"/>
      <c r="BU109" s="399"/>
      <c r="BV109" s="399">
        <v>0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3868.1</v>
      </c>
      <c r="CJ109" s="399">
        <v>-483.19000000000096</v>
      </c>
      <c r="CK109" s="399"/>
      <c r="CL109" s="399"/>
      <c r="CM109" s="399"/>
      <c r="CN109" s="399"/>
      <c r="CO109" s="399">
        <v>-514</v>
      </c>
      <c r="CP109" s="399">
        <v>0</v>
      </c>
      <c r="CQ109" s="399"/>
      <c r="CR109" s="399">
        <v>-9.5837838436800666</v>
      </c>
      <c r="CS109" s="399">
        <v>0</v>
      </c>
      <c r="CT109" s="399">
        <v>0</v>
      </c>
      <c r="CU109" s="399">
        <v>0</v>
      </c>
      <c r="CV109" s="399">
        <v>0</v>
      </c>
      <c r="CW109" s="399"/>
      <c r="CX109" s="399"/>
      <c r="CY109" s="399"/>
      <c r="CZ109" s="399">
        <v>-9.5837838436800666</v>
      </c>
      <c r="DA109" s="399">
        <v>0</v>
      </c>
      <c r="DB109" s="399">
        <v>0</v>
      </c>
      <c r="DC109" s="399"/>
      <c r="DD109" s="399"/>
      <c r="DE109" s="399">
        <v>0</v>
      </c>
      <c r="DF109" s="399">
        <v>0</v>
      </c>
      <c r="DG109" s="399">
        <v>0</v>
      </c>
      <c r="DH109" s="399">
        <v>0</v>
      </c>
      <c r="DI109" s="399">
        <v>0</v>
      </c>
      <c r="DJ109" s="399"/>
      <c r="DK109" s="399">
        <v>0</v>
      </c>
      <c r="DL109" s="399">
        <v>0</v>
      </c>
      <c r="DM109" s="399"/>
      <c r="DN109" s="399">
        <v>0</v>
      </c>
      <c r="DO109" s="399">
        <v>0</v>
      </c>
      <c r="DP109" s="399">
        <v>0</v>
      </c>
      <c r="DQ109" s="399">
        <v>0</v>
      </c>
      <c r="DR109" s="399">
        <v>0</v>
      </c>
      <c r="DS109" s="399"/>
      <c r="DT109" s="399"/>
      <c r="DU109" s="399">
        <v>2837.3428309380402</v>
      </c>
      <c r="DV109" s="399"/>
      <c r="DW109" s="399">
        <v>0</v>
      </c>
      <c r="DX109" s="399">
        <v>0</v>
      </c>
      <c r="DY109" s="399">
        <v>-514</v>
      </c>
      <c r="DZ109" s="399"/>
      <c r="EA109" s="399">
        <v>0</v>
      </c>
      <c r="EB109" s="399"/>
      <c r="EC109" s="399">
        <v>-504.17870577822032</v>
      </c>
      <c r="ED109" s="399"/>
      <c r="EE109" s="399">
        <v>0</v>
      </c>
      <c r="EF109" s="399">
        <v>0</v>
      </c>
      <c r="EG109" s="399"/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/>
      <c r="EN109" s="399"/>
      <c r="EO109" s="399">
        <v>0</v>
      </c>
      <c r="EP109" s="399">
        <v>0</v>
      </c>
      <c r="EQ109" s="399"/>
      <c r="ER109" s="399">
        <v>0</v>
      </c>
      <c r="ES109" s="399"/>
      <c r="ET109" s="399">
        <v>0</v>
      </c>
      <c r="EU109" s="399"/>
      <c r="EV109" s="399">
        <v>229</v>
      </c>
      <c r="EW109" s="399"/>
      <c r="EX109" s="399"/>
      <c r="EY109" s="399"/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8" customFormat="1">
      <c r="A110" s="399">
        <v>108</v>
      </c>
      <c r="B110" s="399" t="s">
        <v>954</v>
      </c>
      <c r="C110" s="399" t="s">
        <v>2336</v>
      </c>
      <c r="D110" s="399" t="s">
        <v>1819</v>
      </c>
      <c r="E110" s="399" t="s">
        <v>887</v>
      </c>
      <c r="F110" s="399" t="s">
        <v>887</v>
      </c>
      <c r="G110" s="399" t="s">
        <v>1237</v>
      </c>
      <c r="H110" s="399" t="s">
        <v>1237</v>
      </c>
      <c r="I110" s="399" t="s">
        <v>1237</v>
      </c>
      <c r="J110" s="399" t="s">
        <v>2337</v>
      </c>
      <c r="K110" s="788">
        <v>44562</v>
      </c>
      <c r="L110" s="399">
        <v>0</v>
      </c>
      <c r="M110" s="399">
        <v>0</v>
      </c>
      <c r="N110" s="399">
        <v>575.85500000000002</v>
      </c>
      <c r="O110" s="399">
        <v>575.85500000000002</v>
      </c>
      <c r="P110" s="399">
        <v>575.85500000000002</v>
      </c>
      <c r="Q110" s="399">
        <v>575.85500000000002</v>
      </c>
      <c r="R110" s="399"/>
      <c r="S110" s="399">
        <v>707.13</v>
      </c>
      <c r="T110" s="399">
        <v>119.97</v>
      </c>
      <c r="U110" s="399"/>
      <c r="V110" s="399">
        <v>476289.67050000001</v>
      </c>
      <c r="W110" s="399">
        <v>476289.67050000001</v>
      </c>
      <c r="X110" s="399">
        <v>419815.57065000001</v>
      </c>
      <c r="Y110" s="399">
        <v>0</v>
      </c>
      <c r="Z110" s="399">
        <v>35066.6208794595</v>
      </c>
      <c r="AA110" s="399">
        <v>0</v>
      </c>
      <c r="AB110" s="399">
        <v>0</v>
      </c>
      <c r="AC110" s="399">
        <v>0</v>
      </c>
      <c r="AD110" s="399">
        <v>61926.992236441569</v>
      </c>
      <c r="AE110" s="399">
        <v>293319.20080280927</v>
      </c>
      <c r="AF110" s="399">
        <v>69087.537115179541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5418.9256407445664</v>
      </c>
      <c r="AM110" s="399"/>
      <c r="AN110" s="399">
        <v>1238.8361423762208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10234.33317974594</v>
      </c>
      <c r="BH110" s="399">
        <v>0</v>
      </c>
      <c r="BI110" s="399">
        <v>0</v>
      </c>
      <c r="BJ110" s="399">
        <v>0</v>
      </c>
      <c r="BK110" s="399">
        <v>104907.15</v>
      </c>
      <c r="BL110" s="399">
        <v>3116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79321.87029492548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419819.21580000001</v>
      </c>
      <c r="CJ110" s="399">
        <v>-56470.48470000003</v>
      </c>
      <c r="CK110" s="399"/>
      <c r="CL110" s="399"/>
      <c r="CM110" s="399"/>
      <c r="CN110" s="399"/>
      <c r="CO110" s="399">
        <v>-56474.099850000028</v>
      </c>
      <c r="CP110" s="399">
        <v>0</v>
      </c>
      <c r="CQ110" s="399">
        <v>31</v>
      </c>
      <c r="CR110" s="399">
        <v>-4352.4985416890704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-331.32054805041844</v>
      </c>
      <c r="DA110" s="399">
        <v>0</v>
      </c>
      <c r="DB110" s="399">
        <v>0</v>
      </c>
      <c r="DC110" s="399">
        <v>0</v>
      </c>
      <c r="DD110" s="399">
        <v>0</v>
      </c>
      <c r="DE110" s="399">
        <v>0</v>
      </c>
      <c r="DF110" s="399">
        <v>0</v>
      </c>
      <c r="DG110" s="399">
        <v>0</v>
      </c>
      <c r="DH110" s="399">
        <v>0</v>
      </c>
      <c r="DI110" s="399">
        <v>-3456.9469181978347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-461.7916553020068</v>
      </c>
      <c r="DP110" s="399">
        <v>-102.43942013882702</v>
      </c>
      <c r="DQ110" s="399">
        <v>0</v>
      </c>
      <c r="DR110" s="399">
        <v>0</v>
      </c>
      <c r="DS110" s="399"/>
      <c r="DT110" s="399"/>
      <c r="DU110" s="399"/>
      <c r="DV110" s="399">
        <v>293319.20080280927</v>
      </c>
      <c r="DW110" s="399">
        <v>0</v>
      </c>
      <c r="DX110" s="399">
        <v>0</v>
      </c>
      <c r="DY110" s="399">
        <v>-56474.099849999999</v>
      </c>
      <c r="DZ110" s="399">
        <v>0</v>
      </c>
      <c r="EA110" s="399">
        <v>0</v>
      </c>
      <c r="EB110" s="399">
        <v>0</v>
      </c>
      <c r="EC110" s="399">
        <v>-52121.052637044224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229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8" customFormat="1">
      <c r="A111" s="399">
        <v>109</v>
      </c>
      <c r="B111" s="399" t="s">
        <v>2338</v>
      </c>
      <c r="C111" s="399" t="s">
        <v>2336</v>
      </c>
      <c r="D111" s="399" t="s">
        <v>1819</v>
      </c>
      <c r="E111" s="399" t="s">
        <v>887</v>
      </c>
      <c r="F111" s="399" t="s">
        <v>887</v>
      </c>
      <c r="G111" s="399" t="s">
        <v>1237</v>
      </c>
      <c r="H111" s="399" t="s">
        <v>1237</v>
      </c>
      <c r="I111" s="399" t="s">
        <v>1237</v>
      </c>
      <c r="J111" s="399" t="s">
        <v>2337</v>
      </c>
      <c r="K111" s="788">
        <v>44562</v>
      </c>
      <c r="L111" s="399">
        <v>0</v>
      </c>
      <c r="M111" s="399">
        <v>0</v>
      </c>
      <c r="N111" s="399">
        <v>-8.907</v>
      </c>
      <c r="O111" s="399">
        <v>-8.907</v>
      </c>
      <c r="P111" s="399">
        <v>-8.907</v>
      </c>
      <c r="Q111" s="399">
        <v>-8.907</v>
      </c>
      <c r="R111" s="399"/>
      <c r="S111" s="399">
        <v>707.13</v>
      </c>
      <c r="T111" s="399">
        <v>119.97</v>
      </c>
      <c r="U111" s="399"/>
      <c r="V111" s="399">
        <v>-7366.9796999999999</v>
      </c>
      <c r="W111" s="399">
        <v>-7366.9796999999999</v>
      </c>
      <c r="X111" s="399">
        <v>-6493.4702099999995</v>
      </c>
      <c r="Y111" s="399">
        <v>0</v>
      </c>
      <c r="Z111" s="399">
        <v>-542.39069240233357</v>
      </c>
      <c r="AA111" s="399">
        <v>0</v>
      </c>
      <c r="AB111" s="399">
        <v>0</v>
      </c>
      <c r="AC111" s="399">
        <v>0</v>
      </c>
      <c r="AD111" s="399">
        <v>-957.85175061427799</v>
      </c>
      <c r="AE111" s="399">
        <v>-4536.8957837487251</v>
      </c>
      <c r="AF111" s="399">
        <v>-1068.6070158024229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-83.81688217018494</v>
      </c>
      <c r="AM111" s="399"/>
      <c r="AN111" s="399">
        <v>-19.161617976999416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-158.2988871017827</v>
      </c>
      <c r="BH111" s="399">
        <v>0</v>
      </c>
      <c r="BI111" s="399">
        <v>0</v>
      </c>
      <c r="BJ111" s="399">
        <v>0</v>
      </c>
      <c r="BK111" s="399">
        <v>-2576.8200000000002</v>
      </c>
      <c r="BL111" s="399">
        <v>0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-1226.9059029042055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-6495.6572999999999</v>
      </c>
      <c r="CJ111" s="399">
        <v>871.29239999999936</v>
      </c>
      <c r="CK111" s="399"/>
      <c r="CL111" s="399"/>
      <c r="CM111" s="399"/>
      <c r="CN111" s="399"/>
      <c r="CO111" s="399">
        <v>873.50949000000048</v>
      </c>
      <c r="CP111" s="399">
        <v>0</v>
      </c>
      <c r="CQ111" s="399">
        <v>31</v>
      </c>
      <c r="CR111" s="399">
        <v>67.321989929451775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5.124679166604551</v>
      </c>
      <c r="DA111" s="399">
        <v>0</v>
      </c>
      <c r="DB111" s="399">
        <v>0</v>
      </c>
      <c r="DC111" s="399">
        <v>0</v>
      </c>
      <c r="DD111" s="399">
        <v>0</v>
      </c>
      <c r="DE111" s="399">
        <v>0</v>
      </c>
      <c r="DF111" s="399">
        <v>0</v>
      </c>
      <c r="DG111" s="399">
        <v>0</v>
      </c>
      <c r="DH111" s="399">
        <v>0</v>
      </c>
      <c r="DI111" s="399">
        <v>53.470103064813486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7.1427325868056499</v>
      </c>
      <c r="DP111" s="399">
        <v>1.5844751112285778</v>
      </c>
      <c r="DQ111" s="399">
        <v>0</v>
      </c>
      <c r="DR111" s="399">
        <v>0</v>
      </c>
      <c r="DS111" s="399"/>
      <c r="DT111" s="399"/>
      <c r="DU111" s="399"/>
      <c r="DV111" s="399">
        <v>-4536.8957837487251</v>
      </c>
      <c r="DW111" s="399">
        <v>0</v>
      </c>
      <c r="DX111" s="399">
        <v>0</v>
      </c>
      <c r="DY111" s="399">
        <v>873.50949000000037</v>
      </c>
      <c r="DZ111" s="399">
        <v>0</v>
      </c>
      <c r="EA111" s="399">
        <v>0</v>
      </c>
      <c r="EB111" s="399">
        <v>0</v>
      </c>
      <c r="EC111" s="399">
        <v>806.17901353318621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229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8" customFormat="1">
      <c r="A112" s="399">
        <v>110</v>
      </c>
      <c r="B112" s="399" t="s">
        <v>2339</v>
      </c>
      <c r="C112" s="399" t="s">
        <v>2336</v>
      </c>
      <c r="D112" s="399" t="s">
        <v>1819</v>
      </c>
      <c r="E112" s="399" t="s">
        <v>887</v>
      </c>
      <c r="F112" s="399" t="s">
        <v>887</v>
      </c>
      <c r="G112" s="399" t="s">
        <v>1237</v>
      </c>
      <c r="H112" s="399" t="s">
        <v>1237</v>
      </c>
      <c r="I112" s="399" t="s">
        <v>1237</v>
      </c>
      <c r="J112" s="399" t="s">
        <v>2337</v>
      </c>
      <c r="K112" s="788">
        <v>44562</v>
      </c>
      <c r="L112" s="399">
        <v>0</v>
      </c>
      <c r="M112" s="399">
        <v>0</v>
      </c>
      <c r="N112" s="399">
        <v>6.1020000000000003</v>
      </c>
      <c r="O112" s="399">
        <v>6.1020000000000003</v>
      </c>
      <c r="P112" s="399">
        <v>6.1020000000000003</v>
      </c>
      <c r="Q112" s="399">
        <v>6.1020000000000003</v>
      </c>
      <c r="R112" s="399"/>
      <c r="S112" s="399">
        <v>707.13</v>
      </c>
      <c r="T112" s="399">
        <v>119.97</v>
      </c>
      <c r="U112" s="399"/>
      <c r="V112" s="399">
        <v>5046.9642000000003</v>
      </c>
      <c r="W112" s="399">
        <v>5046.9642000000003</v>
      </c>
      <c r="X112" s="399">
        <v>4448.5410600000005</v>
      </c>
      <c r="Y112" s="399">
        <v>0</v>
      </c>
      <c r="Z112" s="399">
        <v>371.58055518570109</v>
      </c>
      <c r="AA112" s="399">
        <v>0</v>
      </c>
      <c r="AB112" s="399">
        <v>0</v>
      </c>
      <c r="AC112" s="399">
        <v>0</v>
      </c>
      <c r="AD112" s="399">
        <v>656.20426431439591</v>
      </c>
      <c r="AE112" s="399">
        <v>3108.1327127466848</v>
      </c>
      <c r="AF112" s="399">
        <v>732.08038738367395</v>
      </c>
      <c r="AG112" s="399">
        <v>0</v>
      </c>
      <c r="AH112" s="399">
        <v>0</v>
      </c>
      <c r="AI112" s="399">
        <v>0</v>
      </c>
      <c r="AJ112" s="399">
        <v>0</v>
      </c>
      <c r="AK112" s="399">
        <v>0</v>
      </c>
      <c r="AL112" s="399">
        <v>57.421198495842432</v>
      </c>
      <c r="AM112" s="399"/>
      <c r="AN112" s="399">
        <v>13.1272249798642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108.44726721624319</v>
      </c>
      <c r="BH112" s="399">
        <v>0</v>
      </c>
      <c r="BI112" s="399">
        <v>0</v>
      </c>
      <c r="BJ112" s="399">
        <v>0</v>
      </c>
      <c r="BK112" s="399">
        <v>3310.94</v>
      </c>
      <c r="BL112" s="399">
        <v>33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840.52765459991713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4447.0829999999996</v>
      </c>
      <c r="CJ112" s="399">
        <v>-599.91120000000137</v>
      </c>
      <c r="CK112" s="399"/>
      <c r="CL112" s="399"/>
      <c r="CM112" s="399"/>
      <c r="CN112" s="399"/>
      <c r="CO112" s="399">
        <v>-598.42314000000033</v>
      </c>
      <c r="CP112" s="399">
        <v>0</v>
      </c>
      <c r="CQ112" s="399">
        <v>31</v>
      </c>
      <c r="CR112" s="399">
        <v>-46.120891719941483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-3.5108108537802991</v>
      </c>
      <c r="DA112" s="399">
        <v>0</v>
      </c>
      <c r="DB112" s="399">
        <v>0</v>
      </c>
      <c r="DC112" s="399">
        <v>0</v>
      </c>
      <c r="DD112" s="399">
        <v>0</v>
      </c>
      <c r="DE112" s="399">
        <v>0</v>
      </c>
      <c r="DF112" s="399">
        <v>0</v>
      </c>
      <c r="DG112" s="399">
        <v>0</v>
      </c>
      <c r="DH112" s="399">
        <v>0</v>
      </c>
      <c r="DI112" s="399">
        <v>-36.631252823789339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-4.8933371780271813</v>
      </c>
      <c r="DP112" s="399">
        <v>-1.0854908643445356</v>
      </c>
      <c r="DQ112" s="399">
        <v>0</v>
      </c>
      <c r="DR112" s="399">
        <v>0</v>
      </c>
      <c r="DS112" s="399"/>
      <c r="DT112" s="399"/>
      <c r="DU112" s="399"/>
      <c r="DV112" s="399">
        <v>3108.1327127466848</v>
      </c>
      <c r="DW112" s="399">
        <v>0</v>
      </c>
      <c r="DX112" s="399">
        <v>0</v>
      </c>
      <c r="DY112" s="399">
        <v>-598.42313999999988</v>
      </c>
      <c r="DZ112" s="399">
        <v>0</v>
      </c>
      <c r="EA112" s="399">
        <v>0</v>
      </c>
      <c r="EB112" s="399">
        <v>0</v>
      </c>
      <c r="EC112" s="399">
        <v>-552.29643433024603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229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8" customFormat="1">
      <c r="A113" s="399">
        <v>111</v>
      </c>
      <c r="B113" s="399" t="s">
        <v>954</v>
      </c>
      <c r="C113" s="399" t="s">
        <v>2336</v>
      </c>
      <c r="D113" s="399" t="s">
        <v>1819</v>
      </c>
      <c r="E113" s="399" t="s">
        <v>887</v>
      </c>
      <c r="F113" s="399" t="s">
        <v>2340</v>
      </c>
      <c r="G113" s="399" t="s">
        <v>1237</v>
      </c>
      <c r="H113" s="399" t="s">
        <v>1237</v>
      </c>
      <c r="I113" s="399" t="s">
        <v>1237</v>
      </c>
      <c r="J113" s="399" t="s">
        <v>2337</v>
      </c>
      <c r="K113" s="788">
        <v>44562</v>
      </c>
      <c r="L113" s="399">
        <v>0</v>
      </c>
      <c r="M113" s="399">
        <v>0</v>
      </c>
      <c r="N113" s="399">
        <v>4.2300000000000004</v>
      </c>
      <c r="O113" s="399">
        <v>4.2300000000000004</v>
      </c>
      <c r="P113" s="399">
        <v>4.2300000000000004</v>
      </c>
      <c r="Q113" s="399">
        <v>4.2300000000000004</v>
      </c>
      <c r="R113" s="399"/>
      <c r="S113" s="399">
        <v>636.83000000000004</v>
      </c>
      <c r="T113" s="399">
        <v>119.97</v>
      </c>
      <c r="U113" s="399"/>
      <c r="V113" s="399">
        <v>3201.2640000000006</v>
      </c>
      <c r="W113" s="399">
        <v>3201.2640000000006</v>
      </c>
      <c r="X113" s="399">
        <v>2815.1919000000003</v>
      </c>
      <c r="Y113" s="399">
        <v>0</v>
      </c>
      <c r="Z113" s="399">
        <v>0</v>
      </c>
      <c r="AA113" s="399">
        <v>0</v>
      </c>
      <c r="AB113" s="399">
        <v>0</v>
      </c>
      <c r="AC113" s="399">
        <v>0</v>
      </c>
      <c r="AD113" s="399">
        <v>454.89086169287037</v>
      </c>
      <c r="AE113" s="399">
        <v>2154.6052728479967</v>
      </c>
      <c r="AF113" s="399">
        <v>507.48935408602773</v>
      </c>
      <c r="AG113" s="399">
        <v>0</v>
      </c>
      <c r="AH113" s="399">
        <v>0</v>
      </c>
      <c r="AI113" s="399">
        <v>0</v>
      </c>
      <c r="AJ113" s="399">
        <v>0</v>
      </c>
      <c r="AK113" s="399">
        <v>0</v>
      </c>
      <c r="AL113" s="399">
        <v>0</v>
      </c>
      <c r="AM113" s="399"/>
      <c r="AN113" s="399">
        <v>9.0999937176049777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75.177309132203987</v>
      </c>
      <c r="BH113" s="399">
        <v>0</v>
      </c>
      <c r="BI113" s="399">
        <v>0</v>
      </c>
      <c r="BJ113" s="399">
        <v>0</v>
      </c>
      <c r="BK113" s="399">
        <v>133.94999999999999</v>
      </c>
      <c r="BL113" s="399">
        <v>10</v>
      </c>
      <c r="BM113" s="399"/>
      <c r="BN113" s="399"/>
      <c r="BO113" s="399"/>
      <c r="BP113" s="399"/>
      <c r="BQ113" s="399"/>
      <c r="BR113" s="399"/>
      <c r="BS113" s="399"/>
      <c r="BT113" s="399">
        <v>1829.8556999999998</v>
      </c>
      <c r="BU113" s="399"/>
      <c r="BV113" s="399">
        <v>582.66666321823175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985.33620000000008</v>
      </c>
      <c r="CJ113" s="399">
        <v>-135.1361999999998</v>
      </c>
      <c r="CK113" s="399"/>
      <c r="CL113" s="399"/>
      <c r="CM113" s="399"/>
      <c r="CN113" s="399"/>
      <c r="CO113" s="399">
        <v>-386.07210000000043</v>
      </c>
      <c r="CP113" s="399">
        <v>0</v>
      </c>
      <c r="CQ113" s="399">
        <v>31</v>
      </c>
      <c r="CR113" s="399">
        <v>-3.1862268547472468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-2.4337479369863786</v>
      </c>
      <c r="DA113" s="399">
        <v>0</v>
      </c>
      <c r="DB113" s="399">
        <v>0</v>
      </c>
      <c r="DC113" s="399">
        <v>0</v>
      </c>
      <c r="DD113" s="399">
        <v>0</v>
      </c>
      <c r="DE113" s="399">
        <v>0</v>
      </c>
      <c r="DF113" s="399">
        <v>0</v>
      </c>
      <c r="DG113" s="399">
        <v>0</v>
      </c>
      <c r="DH113" s="399">
        <v>0</v>
      </c>
      <c r="DI113" s="399">
        <v>0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0</v>
      </c>
      <c r="DP113" s="399">
        <v>-0.75247891776096232</v>
      </c>
      <c r="DQ113" s="399">
        <v>0</v>
      </c>
      <c r="DR113" s="399">
        <v>0</v>
      </c>
      <c r="DS113" s="399"/>
      <c r="DT113" s="399"/>
      <c r="DU113" s="399"/>
      <c r="DV113" s="399">
        <v>2154.6052728479967</v>
      </c>
      <c r="DW113" s="399">
        <v>0</v>
      </c>
      <c r="DX113" s="399">
        <v>0</v>
      </c>
      <c r="DY113" s="399">
        <v>-386.07210000000032</v>
      </c>
      <c r="DZ113" s="399">
        <v>0</v>
      </c>
      <c r="EA113" s="399">
        <v>0</v>
      </c>
      <c r="EB113" s="399">
        <v>0</v>
      </c>
      <c r="EC113" s="399">
        <v>-382.86036008143878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229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8" customFormat="1">
      <c r="A114" s="399">
        <v>112</v>
      </c>
      <c r="B114" s="399" t="s">
        <v>954</v>
      </c>
      <c r="C114" s="399" t="s">
        <v>2336</v>
      </c>
      <c r="D114" s="399" t="s">
        <v>1819</v>
      </c>
      <c r="E114" s="399" t="s">
        <v>887</v>
      </c>
      <c r="F114" s="399" t="s">
        <v>2341</v>
      </c>
      <c r="G114" s="399" t="s">
        <v>1237</v>
      </c>
      <c r="H114" s="399" t="s">
        <v>1237</v>
      </c>
      <c r="I114" s="399" t="s">
        <v>1237</v>
      </c>
      <c r="J114" s="399" t="s">
        <v>2337</v>
      </c>
      <c r="K114" s="788">
        <v>44562</v>
      </c>
      <c r="L114" s="399">
        <v>0</v>
      </c>
      <c r="M114" s="399">
        <v>0</v>
      </c>
      <c r="N114" s="399">
        <v>8.7029999999999994</v>
      </c>
      <c r="O114" s="399">
        <v>8.7029999999999994</v>
      </c>
      <c r="P114" s="399">
        <v>8.7029999999999994</v>
      </c>
      <c r="Q114" s="399">
        <v>8.7029999999999994</v>
      </c>
      <c r="R114" s="399"/>
      <c r="S114" s="399">
        <v>636.83000000000004</v>
      </c>
      <c r="T114" s="399">
        <v>119.97</v>
      </c>
      <c r="U114" s="399"/>
      <c r="V114" s="399">
        <v>6586.4303999999993</v>
      </c>
      <c r="W114" s="399">
        <v>6586.4303999999993</v>
      </c>
      <c r="X114" s="399">
        <v>5792.1075899999987</v>
      </c>
      <c r="Y114" s="399">
        <v>0</v>
      </c>
      <c r="Z114" s="399">
        <v>0</v>
      </c>
      <c r="AA114" s="399">
        <v>0</v>
      </c>
      <c r="AB114" s="399">
        <v>0</v>
      </c>
      <c r="AC114" s="399">
        <v>0</v>
      </c>
      <c r="AD114" s="399">
        <v>935.91375161065014</v>
      </c>
      <c r="AE114" s="399">
        <v>4432.9857422213036</v>
      </c>
      <c r="AF114" s="399">
        <v>1044.1323519174227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0</v>
      </c>
      <c r="AM114" s="399"/>
      <c r="AN114" s="399">
        <v>18.722753031753218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154.67331474647071</v>
      </c>
      <c r="BH114" s="399">
        <v>0</v>
      </c>
      <c r="BI114" s="399">
        <v>0</v>
      </c>
      <c r="BJ114" s="399">
        <v>0</v>
      </c>
      <c r="BK114" s="399">
        <v>473.6</v>
      </c>
      <c r="BL114" s="399">
        <v>23</v>
      </c>
      <c r="BM114" s="399"/>
      <c r="BN114" s="399"/>
      <c r="BO114" s="399"/>
      <c r="BP114" s="399"/>
      <c r="BQ114" s="399"/>
      <c r="BR114" s="399"/>
      <c r="BS114" s="399"/>
      <c r="BT114" s="399">
        <v>2316.8256299999994</v>
      </c>
      <c r="BU114" s="399"/>
      <c r="BV114" s="399">
        <v>1198.8056666638934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3474.0839999999998</v>
      </c>
      <c r="CJ114" s="399">
        <v>-477.80424000000085</v>
      </c>
      <c r="CK114" s="399"/>
      <c r="CL114" s="399"/>
      <c r="CM114" s="399"/>
      <c r="CN114" s="399"/>
      <c r="CO114" s="399">
        <v>-794.3228100000008</v>
      </c>
      <c r="CP114" s="399">
        <v>0</v>
      </c>
      <c r="CQ114" s="399">
        <v>31</v>
      </c>
      <c r="CR114" s="399">
        <v>-6.5554922734904721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-5.0073069256719691</v>
      </c>
      <c r="DA114" s="399">
        <v>0</v>
      </c>
      <c r="DB114" s="399">
        <v>0</v>
      </c>
      <c r="DC114" s="399">
        <v>0</v>
      </c>
      <c r="DD114" s="399">
        <v>0</v>
      </c>
      <c r="DE114" s="399">
        <v>0</v>
      </c>
      <c r="DF114" s="399">
        <v>0</v>
      </c>
      <c r="DG114" s="399">
        <v>0</v>
      </c>
      <c r="DH114" s="399">
        <v>0</v>
      </c>
      <c r="DI114" s="399">
        <v>0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0</v>
      </c>
      <c r="DP114" s="399">
        <v>-1.5481853478188299</v>
      </c>
      <c r="DQ114" s="399">
        <v>0</v>
      </c>
      <c r="DR114" s="399">
        <v>0</v>
      </c>
      <c r="DS114" s="399"/>
      <c r="DT114" s="399"/>
      <c r="DU114" s="399"/>
      <c r="DV114" s="399">
        <v>4432.9857422213036</v>
      </c>
      <c r="DW114" s="399">
        <v>0</v>
      </c>
      <c r="DX114" s="399">
        <v>0</v>
      </c>
      <c r="DY114" s="399">
        <v>-794.32281000000057</v>
      </c>
      <c r="DZ114" s="399">
        <v>0</v>
      </c>
      <c r="EA114" s="399">
        <v>0</v>
      </c>
      <c r="EB114" s="399">
        <v>0</v>
      </c>
      <c r="EC114" s="399">
        <v>-787.71482595479029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229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8" customFormat="1">
      <c r="A115" s="399">
        <v>113</v>
      </c>
      <c r="B115" s="399" t="s">
        <v>954</v>
      </c>
      <c r="C115" s="399" t="s">
        <v>2336</v>
      </c>
      <c r="D115" s="399" t="s">
        <v>1819</v>
      </c>
      <c r="E115" s="399" t="s">
        <v>887</v>
      </c>
      <c r="F115" s="399" t="s">
        <v>2342</v>
      </c>
      <c r="G115" s="399" t="s">
        <v>1237</v>
      </c>
      <c r="H115" s="399" t="s">
        <v>1237</v>
      </c>
      <c r="I115" s="399" t="s">
        <v>1237</v>
      </c>
      <c r="J115" s="399" t="s">
        <v>2337</v>
      </c>
      <c r="K115" s="788">
        <v>44562</v>
      </c>
      <c r="L115" s="399">
        <v>0</v>
      </c>
      <c r="M115" s="399">
        <v>0</v>
      </c>
      <c r="N115" s="399">
        <v>9.3420000000000005</v>
      </c>
      <c r="O115" s="399">
        <v>9.3420000000000005</v>
      </c>
      <c r="P115" s="399">
        <v>9.3420000000000005</v>
      </c>
      <c r="Q115" s="399">
        <v>9.3420000000000005</v>
      </c>
      <c r="R115" s="399"/>
      <c r="S115" s="399">
        <v>636.83000000000004</v>
      </c>
      <c r="T115" s="399">
        <v>119.97</v>
      </c>
      <c r="U115" s="399"/>
      <c r="V115" s="399">
        <v>7070.0256000000008</v>
      </c>
      <c r="W115" s="399">
        <v>7070.0256000000008</v>
      </c>
      <c r="X115" s="399">
        <v>6217.3812600000001</v>
      </c>
      <c r="Y115" s="399">
        <v>0</v>
      </c>
      <c r="Z115" s="399">
        <v>0</v>
      </c>
      <c r="AA115" s="399">
        <v>0</v>
      </c>
      <c r="AB115" s="399">
        <v>0</v>
      </c>
      <c r="AC115" s="399">
        <v>0</v>
      </c>
      <c r="AD115" s="399">
        <v>1004.6313073131903</v>
      </c>
      <c r="AE115" s="399">
        <v>4758.4686664174906</v>
      </c>
      <c r="AF115" s="399">
        <v>1120.7956373219079</v>
      </c>
      <c r="AG115" s="399">
        <v>0</v>
      </c>
      <c r="AH115" s="399">
        <v>0</v>
      </c>
      <c r="AI115" s="399">
        <v>0</v>
      </c>
      <c r="AJ115" s="399">
        <v>0</v>
      </c>
      <c r="AK115" s="399">
        <v>0</v>
      </c>
      <c r="AL115" s="399">
        <v>0</v>
      </c>
      <c r="AM115" s="399"/>
      <c r="AN115" s="399">
        <v>20.097432933774396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166.02988697708028</v>
      </c>
      <c r="BH115" s="399">
        <v>0</v>
      </c>
      <c r="BI115" s="399">
        <v>0</v>
      </c>
      <c r="BJ115" s="399">
        <v>0</v>
      </c>
      <c r="BK115" s="399">
        <v>1292.3499999999999</v>
      </c>
      <c r="BL115" s="399">
        <v>60</v>
      </c>
      <c r="BM115" s="399"/>
      <c r="BN115" s="399"/>
      <c r="BO115" s="399"/>
      <c r="BP115" s="399"/>
      <c r="BQ115" s="399"/>
      <c r="BR115" s="399"/>
      <c r="BS115" s="399"/>
      <c r="BT115" s="399">
        <v>621.61667999999963</v>
      </c>
      <c r="BU115" s="399"/>
      <c r="BV115" s="399">
        <v>1286.8255242989881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5594.5666000000001</v>
      </c>
      <c r="CJ115" s="399">
        <v>-768.48644000000058</v>
      </c>
      <c r="CK115" s="399"/>
      <c r="CL115" s="399"/>
      <c r="CM115" s="399"/>
      <c r="CN115" s="399"/>
      <c r="CO115" s="399">
        <v>-852.64434000000097</v>
      </c>
      <c r="CP115" s="399">
        <v>0</v>
      </c>
      <c r="CQ115" s="399">
        <v>31</v>
      </c>
      <c r="CR115" s="399">
        <v>-7.0368159047402514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-5.3749582097699431</v>
      </c>
      <c r="DA115" s="399">
        <v>0</v>
      </c>
      <c r="DB115" s="399">
        <v>0</v>
      </c>
      <c r="DC115" s="399">
        <v>0</v>
      </c>
      <c r="DD115" s="399">
        <v>0</v>
      </c>
      <c r="DE115" s="399">
        <v>0</v>
      </c>
      <c r="DF115" s="399">
        <v>0</v>
      </c>
      <c r="DG115" s="399">
        <v>0</v>
      </c>
      <c r="DH115" s="399">
        <v>0</v>
      </c>
      <c r="DI115" s="399">
        <v>0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0</v>
      </c>
      <c r="DP115" s="399">
        <v>-1.6618576949699531</v>
      </c>
      <c r="DQ115" s="399">
        <v>0</v>
      </c>
      <c r="DR115" s="399">
        <v>0</v>
      </c>
      <c r="DS115" s="399"/>
      <c r="DT115" s="399"/>
      <c r="DU115" s="399"/>
      <c r="DV115" s="399">
        <v>4758.4686664174906</v>
      </c>
      <c r="DW115" s="399">
        <v>0</v>
      </c>
      <c r="DX115" s="399">
        <v>0</v>
      </c>
      <c r="DY115" s="399">
        <v>-852.64434000000074</v>
      </c>
      <c r="DZ115" s="399">
        <v>0</v>
      </c>
      <c r="EA115" s="399">
        <v>0</v>
      </c>
      <c r="EB115" s="399">
        <v>0</v>
      </c>
      <c r="EC115" s="399">
        <v>-845.55117822241164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229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8" customFormat="1">
      <c r="A116" s="399">
        <v>114</v>
      </c>
      <c r="B116" s="399" t="s">
        <v>954</v>
      </c>
      <c r="C116" s="399" t="s">
        <v>2336</v>
      </c>
      <c r="D116" s="399" t="s">
        <v>1819</v>
      </c>
      <c r="E116" s="399" t="s">
        <v>887</v>
      </c>
      <c r="F116" s="399" t="s">
        <v>2343</v>
      </c>
      <c r="G116" s="399" t="s">
        <v>1237</v>
      </c>
      <c r="H116" s="399" t="s">
        <v>1237</v>
      </c>
      <c r="I116" s="399" t="s">
        <v>1237</v>
      </c>
      <c r="J116" s="399" t="s">
        <v>2337</v>
      </c>
      <c r="K116" s="788">
        <v>44562</v>
      </c>
      <c r="L116" s="399">
        <v>0</v>
      </c>
      <c r="M116" s="399">
        <v>0</v>
      </c>
      <c r="N116" s="399">
        <v>4.3019999999999996</v>
      </c>
      <c r="O116" s="399">
        <v>4.3019999999999996</v>
      </c>
      <c r="P116" s="399">
        <v>4.3019999999999996</v>
      </c>
      <c r="Q116" s="399">
        <v>4.3019999999999996</v>
      </c>
      <c r="R116" s="399"/>
      <c r="S116" s="399">
        <v>636.83000000000004</v>
      </c>
      <c r="T116" s="399">
        <v>119.97</v>
      </c>
      <c r="U116" s="399"/>
      <c r="V116" s="399">
        <v>3255.7536</v>
      </c>
      <c r="W116" s="399">
        <v>3255.7536</v>
      </c>
      <c r="X116" s="399">
        <v>2863.1100599999995</v>
      </c>
      <c r="Y116" s="399">
        <v>0</v>
      </c>
      <c r="Z116" s="399">
        <v>0</v>
      </c>
      <c r="AA116" s="399">
        <v>0</v>
      </c>
      <c r="AB116" s="399">
        <v>0</v>
      </c>
      <c r="AC116" s="399">
        <v>0</v>
      </c>
      <c r="AD116" s="399">
        <v>462.63368487062127</v>
      </c>
      <c r="AE116" s="399">
        <v>2191.2794051517922</v>
      </c>
      <c r="AF116" s="399">
        <v>516.12747075132165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0</v>
      </c>
      <c r="AM116" s="399"/>
      <c r="AN116" s="399">
        <v>9.254887227691869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76.45692290466701</v>
      </c>
      <c r="BH116" s="399">
        <v>0</v>
      </c>
      <c r="BI116" s="399">
        <v>0</v>
      </c>
      <c r="BJ116" s="399">
        <v>0</v>
      </c>
      <c r="BK116" s="399">
        <v>954.15</v>
      </c>
      <c r="BL116" s="399">
        <v>48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592.58439365598861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2861.7789999999995</v>
      </c>
      <c r="CJ116" s="399">
        <v>-394.00460000000112</v>
      </c>
      <c r="CK116" s="399"/>
      <c r="CL116" s="399"/>
      <c r="CM116" s="399"/>
      <c r="CN116" s="399"/>
      <c r="CO116" s="399">
        <v>-392.64354000000037</v>
      </c>
      <c r="CP116" s="399">
        <v>0</v>
      </c>
      <c r="CQ116" s="399">
        <v>31</v>
      </c>
      <c r="CR116" s="399">
        <v>-3.2404605033386815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-2.4751734337861535</v>
      </c>
      <c r="DA116" s="399">
        <v>0</v>
      </c>
      <c r="DB116" s="399">
        <v>0</v>
      </c>
      <c r="DC116" s="399">
        <v>0</v>
      </c>
      <c r="DD116" s="399">
        <v>0</v>
      </c>
      <c r="DE116" s="399">
        <v>0</v>
      </c>
      <c r="DF116" s="399">
        <v>0</v>
      </c>
      <c r="DG116" s="399">
        <v>0</v>
      </c>
      <c r="DH116" s="399">
        <v>0</v>
      </c>
      <c r="DI116" s="399">
        <v>0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0</v>
      </c>
      <c r="DP116" s="399">
        <v>-0.76528706955263814</v>
      </c>
      <c r="DQ116" s="399">
        <v>0</v>
      </c>
      <c r="DR116" s="399">
        <v>0</v>
      </c>
      <c r="DS116" s="399"/>
      <c r="DT116" s="399"/>
      <c r="DU116" s="399"/>
      <c r="DV116" s="399">
        <v>2191.2794051517922</v>
      </c>
      <c r="DW116" s="399">
        <v>0</v>
      </c>
      <c r="DX116" s="399">
        <v>0</v>
      </c>
      <c r="DY116" s="399">
        <v>-392.64354000000048</v>
      </c>
      <c r="DZ116" s="399">
        <v>0</v>
      </c>
      <c r="EA116" s="399">
        <v>0</v>
      </c>
      <c r="EB116" s="399">
        <v>0</v>
      </c>
      <c r="EC116" s="399">
        <v>-389.37713216793145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229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8" customFormat="1">
      <c r="A117" s="399">
        <v>115</v>
      </c>
      <c r="B117" s="399" t="s">
        <v>954</v>
      </c>
      <c r="C117" s="399" t="s">
        <v>2336</v>
      </c>
      <c r="D117" s="399" t="s">
        <v>1822</v>
      </c>
      <c r="E117" s="399" t="s">
        <v>888</v>
      </c>
      <c r="F117" s="399" t="s">
        <v>1237</v>
      </c>
      <c r="G117" s="399" t="s">
        <v>1237</v>
      </c>
      <c r="H117" s="399" t="s">
        <v>1237</v>
      </c>
      <c r="I117" s="399" t="s">
        <v>1237</v>
      </c>
      <c r="J117" s="399" t="s">
        <v>2337</v>
      </c>
      <c r="K117" s="788">
        <v>44562</v>
      </c>
      <c r="L117" s="399">
        <v>0</v>
      </c>
      <c r="M117" s="399">
        <v>0</v>
      </c>
      <c r="N117" s="399">
        <v>97.156999999999996</v>
      </c>
      <c r="O117" s="399">
        <v>97.156999999999996</v>
      </c>
      <c r="P117" s="399">
        <v>97.156999999999996</v>
      </c>
      <c r="Q117" s="399">
        <v>97.156999999999996</v>
      </c>
      <c r="R117" s="399"/>
      <c r="S117" s="399">
        <v>707.13</v>
      </c>
      <c r="T117" s="399">
        <v>119.97</v>
      </c>
      <c r="U117" s="399"/>
      <c r="V117" s="399">
        <v>80358.554699999993</v>
      </c>
      <c r="W117" s="399">
        <v>80358.554699999993</v>
      </c>
      <c r="X117" s="399">
        <v>70830.367709999991</v>
      </c>
      <c r="Y117" s="399">
        <v>0</v>
      </c>
      <c r="Z117" s="399">
        <v>5916.3638151716086</v>
      </c>
      <c r="AA117" s="399">
        <v>0</v>
      </c>
      <c r="AB117" s="399">
        <v>0</v>
      </c>
      <c r="AC117" s="399">
        <v>0</v>
      </c>
      <c r="AD117" s="399">
        <v>10448.187103899338</v>
      </c>
      <c r="AE117" s="399">
        <v>49488.176003331631</v>
      </c>
      <c r="AF117" s="399">
        <v>11656.298622916356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914.26931862677202</v>
      </c>
      <c r="AM117" s="399"/>
      <c r="AN117" s="399">
        <v>209.01373277100393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1726.7143790443361</v>
      </c>
      <c r="BH117" s="399">
        <v>0</v>
      </c>
      <c r="BI117" s="399">
        <v>0</v>
      </c>
      <c r="BJ117" s="399">
        <v>0</v>
      </c>
      <c r="BK117" s="399">
        <v>28208.44</v>
      </c>
      <c r="BL117" s="399">
        <v>65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13383.013001960691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70832.554799999998</v>
      </c>
      <c r="CJ117" s="399">
        <v>-9526.0298999999795</v>
      </c>
      <c r="CK117" s="399"/>
      <c r="CL117" s="399"/>
      <c r="CM117" s="399"/>
      <c r="CN117" s="399"/>
      <c r="CO117" s="399">
        <v>-9528.1869900000038</v>
      </c>
      <c r="CP117" s="399">
        <v>0</v>
      </c>
      <c r="CQ117" s="399">
        <v>31</v>
      </c>
      <c r="CR117" s="399">
        <v>-734.34406372243757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-55.899680452430403</v>
      </c>
      <c r="DA117" s="399">
        <v>0</v>
      </c>
      <c r="DB117" s="399">
        <v>0</v>
      </c>
      <c r="DC117" s="399">
        <v>0</v>
      </c>
      <c r="DD117" s="399">
        <v>0</v>
      </c>
      <c r="DE117" s="399">
        <v>0</v>
      </c>
      <c r="DF117" s="399">
        <v>0</v>
      </c>
      <c r="DG117" s="399">
        <v>0</v>
      </c>
      <c r="DH117" s="399">
        <v>0</v>
      </c>
      <c r="DI117" s="399">
        <v>-583.24854647671236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-77.9124811874118</v>
      </c>
      <c r="DP117" s="399">
        <v>-17.283355605886925</v>
      </c>
      <c r="DQ117" s="399">
        <v>0</v>
      </c>
      <c r="DR117" s="399">
        <v>0</v>
      </c>
      <c r="DS117" s="399"/>
      <c r="DT117" s="399"/>
      <c r="DU117" s="399"/>
      <c r="DV117" s="399">
        <v>49488.176003331631</v>
      </c>
      <c r="DW117" s="399">
        <v>0</v>
      </c>
      <c r="DX117" s="399">
        <v>0</v>
      </c>
      <c r="DY117" s="399">
        <v>-9528.186990000002</v>
      </c>
      <c r="DZ117" s="399">
        <v>0</v>
      </c>
      <c r="EA117" s="399">
        <v>0</v>
      </c>
      <c r="EB117" s="399">
        <v>0</v>
      </c>
      <c r="EC117" s="399">
        <v>-8793.7503556577649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229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8" customFormat="1">
      <c r="A118" s="399">
        <v>116</v>
      </c>
      <c r="B118" s="399" t="s">
        <v>2339</v>
      </c>
      <c r="C118" s="399" t="s">
        <v>2336</v>
      </c>
      <c r="D118" s="399" t="s">
        <v>1822</v>
      </c>
      <c r="E118" s="399" t="s">
        <v>888</v>
      </c>
      <c r="F118" s="399" t="s">
        <v>1237</v>
      </c>
      <c r="G118" s="399" t="s">
        <v>1237</v>
      </c>
      <c r="H118" s="399" t="s">
        <v>1237</v>
      </c>
      <c r="I118" s="399" t="s">
        <v>1237</v>
      </c>
      <c r="J118" s="399" t="s">
        <v>2337</v>
      </c>
      <c r="K118" s="788">
        <v>44562</v>
      </c>
      <c r="L118" s="399">
        <v>0</v>
      </c>
      <c r="M118" s="399">
        <v>0</v>
      </c>
      <c r="N118" s="399">
        <v>0.2</v>
      </c>
      <c r="O118" s="399">
        <v>0.2</v>
      </c>
      <c r="P118" s="399">
        <v>0.2</v>
      </c>
      <c r="Q118" s="399">
        <v>0.2</v>
      </c>
      <c r="R118" s="399"/>
      <c r="S118" s="399">
        <v>707.13</v>
      </c>
      <c r="T118" s="399">
        <v>119.97</v>
      </c>
      <c r="U118" s="399"/>
      <c r="V118" s="399">
        <v>165.42000000000002</v>
      </c>
      <c r="W118" s="399">
        <v>165.42000000000002</v>
      </c>
      <c r="X118" s="399">
        <v>145.80599999999998</v>
      </c>
      <c r="Y118" s="399">
        <v>0</v>
      </c>
      <c r="Z118" s="399">
        <v>12.17897591562442</v>
      </c>
      <c r="AA118" s="399">
        <v>0</v>
      </c>
      <c r="AB118" s="399">
        <v>0</v>
      </c>
      <c r="AC118" s="399">
        <v>0</v>
      </c>
      <c r="AD118" s="399">
        <v>21.507842160419401</v>
      </c>
      <c r="AE118" s="399">
        <v>101.8725897327658</v>
      </c>
      <c r="AF118" s="399">
        <v>23.9947685147058</v>
      </c>
      <c r="AG118" s="399">
        <v>0</v>
      </c>
      <c r="AH118" s="399">
        <v>0</v>
      </c>
      <c r="AI118" s="399">
        <v>0</v>
      </c>
      <c r="AJ118" s="399">
        <v>0</v>
      </c>
      <c r="AK118" s="399">
        <v>0</v>
      </c>
      <c r="AL118" s="399">
        <v>1.8820451817713022</v>
      </c>
      <c r="AM118" s="399"/>
      <c r="AN118" s="399">
        <v>0.43025975024137009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3.5544827012862399</v>
      </c>
      <c r="BH118" s="399">
        <v>0</v>
      </c>
      <c r="BI118" s="399">
        <v>0</v>
      </c>
      <c r="BJ118" s="399">
        <v>0</v>
      </c>
      <c r="BK118" s="399">
        <v>588.79</v>
      </c>
      <c r="BL118" s="399">
        <v>2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27.54925121599204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145.80599999999998</v>
      </c>
      <c r="CJ118" s="399">
        <v>-19.644000000000005</v>
      </c>
      <c r="CK118" s="399"/>
      <c r="CL118" s="399"/>
      <c r="CM118" s="399"/>
      <c r="CN118" s="399"/>
      <c r="CO118" s="399">
        <v>-19.614000000000011</v>
      </c>
      <c r="CP118" s="399">
        <v>0</v>
      </c>
      <c r="CQ118" s="399">
        <v>31</v>
      </c>
      <c r="CR118" s="399">
        <v>-1.5116647564713617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-0.1150708244437979</v>
      </c>
      <c r="DA118" s="399">
        <v>0</v>
      </c>
      <c r="DB118" s="399">
        <v>0</v>
      </c>
      <c r="DC118" s="399">
        <v>0</v>
      </c>
      <c r="DD118" s="399">
        <v>0</v>
      </c>
      <c r="DE118" s="399">
        <v>0</v>
      </c>
      <c r="DF118" s="399">
        <v>0</v>
      </c>
      <c r="DG118" s="399">
        <v>0</v>
      </c>
      <c r="DH118" s="399">
        <v>0</v>
      </c>
      <c r="DI118" s="399">
        <v>-1.2006310332280989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-0.16038469937814415</v>
      </c>
      <c r="DP118" s="399">
        <v>-3.5578199421322065E-2</v>
      </c>
      <c r="DQ118" s="399">
        <v>0</v>
      </c>
      <c r="DR118" s="399">
        <v>0</v>
      </c>
      <c r="DS118" s="399"/>
      <c r="DT118" s="399"/>
      <c r="DU118" s="399"/>
      <c r="DV118" s="399">
        <v>101.8725897327658</v>
      </c>
      <c r="DW118" s="399">
        <v>0</v>
      </c>
      <c r="DX118" s="399">
        <v>0</v>
      </c>
      <c r="DY118" s="399">
        <v>-19.614000000000019</v>
      </c>
      <c r="DZ118" s="399">
        <v>0</v>
      </c>
      <c r="EA118" s="399">
        <v>0</v>
      </c>
      <c r="EB118" s="399">
        <v>0</v>
      </c>
      <c r="EC118" s="399">
        <v>-18.102144684701599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0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229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8" customFormat="1">
      <c r="A119" s="399">
        <v>117</v>
      </c>
      <c r="B119" s="399" t="s">
        <v>954</v>
      </c>
      <c r="C119" s="399" t="s">
        <v>2344</v>
      </c>
      <c r="D119" s="399" t="s">
        <v>533</v>
      </c>
      <c r="E119" s="399" t="s">
        <v>888</v>
      </c>
      <c r="F119" s="399" t="s">
        <v>1237</v>
      </c>
      <c r="G119" s="399" t="s">
        <v>1237</v>
      </c>
      <c r="H119" s="399" t="s">
        <v>1237</v>
      </c>
      <c r="I119" s="399" t="s">
        <v>891</v>
      </c>
      <c r="J119" s="399" t="s">
        <v>2337</v>
      </c>
      <c r="K119" s="788">
        <v>44562</v>
      </c>
      <c r="L119" s="399">
        <v>0</v>
      </c>
      <c r="M119" s="399">
        <v>0</v>
      </c>
      <c r="N119" s="399">
        <v>91.927000000000007</v>
      </c>
      <c r="O119" s="399">
        <v>91.927000000000007</v>
      </c>
      <c r="P119" s="399">
        <v>91.927000000000007</v>
      </c>
      <c r="Q119" s="399">
        <v>91.927000000000007</v>
      </c>
      <c r="R119" s="399"/>
      <c r="S119" s="399">
        <v>3312.96</v>
      </c>
      <c r="T119" s="399">
        <v>119.97</v>
      </c>
      <c r="U119" s="399"/>
      <c r="V119" s="399">
        <v>315578.95611000003</v>
      </c>
      <c r="W119" s="399">
        <v>315578.95611000003</v>
      </c>
      <c r="X119" s="399">
        <v>273924.99387000006</v>
      </c>
      <c r="Y119" s="399">
        <v>0</v>
      </c>
      <c r="Z119" s="399">
        <v>4870.1587276308837</v>
      </c>
      <c r="AA119" s="399">
        <v>0</v>
      </c>
      <c r="AB119" s="399">
        <v>0</v>
      </c>
      <c r="AC119" s="399">
        <v>0</v>
      </c>
      <c r="AD119" s="399">
        <v>68728.21076580105</v>
      </c>
      <c r="AE119" s="399">
        <v>229191.55166972685</v>
      </c>
      <c r="AF119" s="399">
        <v>11028.835426256801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865.05383712345247</v>
      </c>
      <c r="AM119" s="399"/>
      <c r="AN119" s="399">
        <v>77.285969879412463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818.5039803913171</v>
      </c>
      <c r="BH119" s="399">
        <v>0</v>
      </c>
      <c r="BI119" s="399">
        <v>0</v>
      </c>
      <c r="BJ119" s="399">
        <v>0</v>
      </c>
      <c r="BK119" s="399">
        <v>0</v>
      </c>
      <c r="BL119" s="399">
        <v>0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11847.339406648118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273933.93330000003</v>
      </c>
      <c r="CJ119" s="399">
        <v>-41645.052810000023</v>
      </c>
      <c r="CK119" s="399"/>
      <c r="CL119" s="399"/>
      <c r="CM119" s="399"/>
      <c r="CN119" s="399"/>
      <c r="CO119" s="399">
        <v>-41653.962239999993</v>
      </c>
      <c r="CP119" s="399">
        <v>0</v>
      </c>
      <c r="CQ119" s="399">
        <v>31</v>
      </c>
      <c r="CR119" s="399">
        <v>-927.92877157815383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-367.70829060331744</v>
      </c>
      <c r="DA119" s="399">
        <v>0</v>
      </c>
      <c r="DB119" s="399">
        <v>0</v>
      </c>
      <c r="DC119" s="399">
        <v>0</v>
      </c>
      <c r="DD119" s="399">
        <v>0</v>
      </c>
      <c r="DE119" s="399">
        <v>0</v>
      </c>
      <c r="DF119" s="399">
        <v>0</v>
      </c>
      <c r="DG119" s="399">
        <v>0</v>
      </c>
      <c r="DH119" s="399">
        <v>0</v>
      </c>
      <c r="DI119" s="399">
        <v>-480.11127911328003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-73.71842129867332</v>
      </c>
      <c r="DP119" s="399">
        <v>-6.3907805628982004</v>
      </c>
      <c r="DQ119" s="399">
        <v>0</v>
      </c>
      <c r="DR119" s="399">
        <v>0</v>
      </c>
      <c r="DS119" s="399"/>
      <c r="DT119" s="399"/>
      <c r="DU119" s="399"/>
      <c r="DV119" s="399">
        <v>229191.55166972685</v>
      </c>
      <c r="DW119" s="399">
        <v>0</v>
      </c>
      <c r="DX119" s="399">
        <v>0</v>
      </c>
      <c r="DY119" s="399">
        <v>-41653.962239999964</v>
      </c>
      <c r="DZ119" s="399">
        <v>0</v>
      </c>
      <c r="EA119" s="399">
        <v>0</v>
      </c>
      <c r="EB119" s="399">
        <v>0</v>
      </c>
      <c r="EC119" s="399">
        <v>-40725.956213737198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229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8" customFormat="1">
      <c r="A120" s="399">
        <v>118</v>
      </c>
      <c r="B120" s="399" t="s">
        <v>2339</v>
      </c>
      <c r="C120" s="399" t="s">
        <v>2344</v>
      </c>
      <c r="D120" s="399" t="s">
        <v>533</v>
      </c>
      <c r="E120" s="399" t="s">
        <v>888</v>
      </c>
      <c r="F120" s="399" t="s">
        <v>1237</v>
      </c>
      <c r="G120" s="399" t="s">
        <v>1237</v>
      </c>
      <c r="H120" s="399" t="s">
        <v>1237</v>
      </c>
      <c r="I120" s="399" t="s">
        <v>891</v>
      </c>
      <c r="J120" s="399" t="s">
        <v>2337</v>
      </c>
      <c r="K120" s="788">
        <v>44562</v>
      </c>
      <c r="L120" s="399">
        <v>0</v>
      </c>
      <c r="M120" s="399">
        <v>0</v>
      </c>
      <c r="N120" s="399">
        <v>2.1549999999999998</v>
      </c>
      <c r="O120" s="399">
        <v>2.1549999999999998</v>
      </c>
      <c r="P120" s="399">
        <v>2.1549999999999998</v>
      </c>
      <c r="Q120" s="399">
        <v>2.1549999999999998</v>
      </c>
      <c r="R120" s="399"/>
      <c r="S120" s="399">
        <v>3312.96</v>
      </c>
      <c r="T120" s="399">
        <v>119.97</v>
      </c>
      <c r="U120" s="399"/>
      <c r="V120" s="399">
        <v>7397.9641499999998</v>
      </c>
      <c r="W120" s="399">
        <v>7397.9641499999998</v>
      </c>
      <c r="X120" s="399">
        <v>6421.4905499999995</v>
      </c>
      <c r="Y120" s="399">
        <v>0</v>
      </c>
      <c r="Z120" s="399">
        <v>114.16876497704214</v>
      </c>
      <c r="AA120" s="399">
        <v>0</v>
      </c>
      <c r="AB120" s="399">
        <v>0</v>
      </c>
      <c r="AC120" s="399">
        <v>0</v>
      </c>
      <c r="AD120" s="399">
        <v>1611.1620546770941</v>
      </c>
      <c r="AE120" s="399">
        <v>5372.8261973986018</v>
      </c>
      <c r="AF120" s="399">
        <v>258.54363074595494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20.279036833585778</v>
      </c>
      <c r="AM120" s="399"/>
      <c r="AN120" s="399">
        <v>1.8117774439515466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19.187791157584691</v>
      </c>
      <c r="BH120" s="399">
        <v>0</v>
      </c>
      <c r="BI120" s="399">
        <v>0</v>
      </c>
      <c r="BJ120" s="399">
        <v>0</v>
      </c>
      <c r="BK120" s="399">
        <v>0</v>
      </c>
      <c r="BL120" s="399">
        <v>0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277.73142190353963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6436.3896000000004</v>
      </c>
      <c r="CJ120" s="399">
        <v>-961.60455000000002</v>
      </c>
      <c r="CK120" s="399"/>
      <c r="CL120" s="399"/>
      <c r="CM120" s="399"/>
      <c r="CN120" s="399"/>
      <c r="CO120" s="399">
        <v>-976.47359999999969</v>
      </c>
      <c r="CP120" s="399">
        <v>0</v>
      </c>
      <c r="CQ120" s="399">
        <v>31</v>
      </c>
      <c r="CR120" s="399">
        <v>-21.75298337540562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-8.6200068124721838</v>
      </c>
      <c r="DA120" s="399">
        <v>0</v>
      </c>
      <c r="DB120" s="399">
        <v>0</v>
      </c>
      <c r="DC120" s="399">
        <v>0</v>
      </c>
      <c r="DD120" s="399">
        <v>0</v>
      </c>
      <c r="DE120" s="399">
        <v>0</v>
      </c>
      <c r="DF120" s="399">
        <v>0</v>
      </c>
      <c r="DG120" s="399">
        <v>0</v>
      </c>
      <c r="DH120" s="399">
        <v>0</v>
      </c>
      <c r="DI120" s="399">
        <v>-11.255015463238436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-1.7281451357995046</v>
      </c>
      <c r="DP120" s="399">
        <v>-0.1498159638957608</v>
      </c>
      <c r="DQ120" s="399">
        <v>0</v>
      </c>
      <c r="DR120" s="399">
        <v>0</v>
      </c>
      <c r="DS120" s="399"/>
      <c r="DT120" s="399"/>
      <c r="DU120" s="399"/>
      <c r="DV120" s="399">
        <v>5372.8261973986018</v>
      </c>
      <c r="DW120" s="399">
        <v>0</v>
      </c>
      <c r="DX120" s="399">
        <v>0</v>
      </c>
      <c r="DY120" s="399">
        <v>-976.47360000000026</v>
      </c>
      <c r="DZ120" s="399">
        <v>0</v>
      </c>
      <c r="EA120" s="399">
        <v>0</v>
      </c>
      <c r="EB120" s="399">
        <v>0</v>
      </c>
      <c r="EC120" s="399">
        <v>-954.71880558055454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229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8" customFormat="1">
      <c r="A121" s="399">
        <v>119</v>
      </c>
      <c r="B121" s="399" t="s">
        <v>954</v>
      </c>
      <c r="C121" s="399" t="s">
        <v>2344</v>
      </c>
      <c r="D121" s="399" t="s">
        <v>533</v>
      </c>
      <c r="E121" s="399" t="s">
        <v>888</v>
      </c>
      <c r="F121" s="399" t="s">
        <v>1237</v>
      </c>
      <c r="G121" s="399" t="s">
        <v>1237</v>
      </c>
      <c r="H121" s="399" t="s">
        <v>1237</v>
      </c>
      <c r="I121" s="399" t="s">
        <v>2322</v>
      </c>
      <c r="J121" s="399" t="s">
        <v>2337</v>
      </c>
      <c r="K121" s="788">
        <v>44562</v>
      </c>
      <c r="L121" s="399">
        <v>0</v>
      </c>
      <c r="M121" s="399">
        <v>0</v>
      </c>
      <c r="N121" s="399">
        <v>2232.203</v>
      </c>
      <c r="O121" s="399">
        <v>2232.203</v>
      </c>
      <c r="P121" s="399">
        <v>2232.203</v>
      </c>
      <c r="Q121" s="399">
        <v>2232.203</v>
      </c>
      <c r="R121" s="399"/>
      <c r="S121" s="399">
        <v>72.13</v>
      </c>
      <c r="T121" s="399">
        <v>119.97</v>
      </c>
      <c r="U121" s="399"/>
      <c r="V121" s="399">
        <v>428806.19629999995</v>
      </c>
      <c r="W121" s="399">
        <v>428806.19629999995</v>
      </c>
      <c r="X121" s="399">
        <v>415212.08002999995</v>
      </c>
      <c r="Y121" s="399">
        <v>0</v>
      </c>
      <c r="Z121" s="399">
        <v>118258.86760466284</v>
      </c>
      <c r="AA121" s="399">
        <v>0</v>
      </c>
      <c r="AB121" s="399">
        <v>0</v>
      </c>
      <c r="AC121" s="399">
        <v>0</v>
      </c>
      <c r="AD121" s="399">
        <v>0</v>
      </c>
      <c r="AE121" s="399">
        <v>0</v>
      </c>
      <c r="AF121" s="399">
        <v>267805.97131415916</v>
      </c>
      <c r="AG121" s="399">
        <v>0</v>
      </c>
      <c r="AH121" s="399">
        <v>0</v>
      </c>
      <c r="AI121" s="399">
        <v>0</v>
      </c>
      <c r="AJ121" s="399">
        <v>0</v>
      </c>
      <c r="AK121" s="399">
        <v>0</v>
      </c>
      <c r="AL121" s="399">
        <v>21005.534504427229</v>
      </c>
      <c r="AM121" s="399"/>
      <c r="AN121" s="399">
        <v>1876.68447597261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19875.194888786089</v>
      </c>
      <c r="BH121" s="399">
        <v>0</v>
      </c>
      <c r="BI121" s="399">
        <v>0</v>
      </c>
      <c r="BJ121" s="399">
        <v>0</v>
      </c>
      <c r="BK121" s="399">
        <v>0</v>
      </c>
      <c r="BL121" s="399">
        <v>0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287681.16620294523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415211.522</v>
      </c>
      <c r="CJ121" s="399">
        <v>-13594.704299999983</v>
      </c>
      <c r="CK121" s="399"/>
      <c r="CL121" s="399"/>
      <c r="CM121" s="399"/>
      <c r="CN121" s="399"/>
      <c r="CO121" s="399">
        <v>-13594.116269999975</v>
      </c>
      <c r="CP121" s="399">
        <v>0</v>
      </c>
      <c r="CQ121" s="399">
        <v>31</v>
      </c>
      <c r="CR121" s="399">
        <v>-13603.466210074374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0</v>
      </c>
      <c r="DA121" s="399">
        <v>0</v>
      </c>
      <c r="DB121" s="399">
        <v>0</v>
      </c>
      <c r="DC121" s="399">
        <v>0</v>
      </c>
      <c r="DD121" s="399">
        <v>0</v>
      </c>
      <c r="DE121" s="399">
        <v>0</v>
      </c>
      <c r="DF121" s="399">
        <v>0</v>
      </c>
      <c r="DG121" s="399">
        <v>0</v>
      </c>
      <c r="DH121" s="399">
        <v>0</v>
      </c>
      <c r="DI121" s="399">
        <v>-11658.227045052074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-1790.0560355299567</v>
      </c>
      <c r="DP121" s="399">
        <v>-155.18312949234769</v>
      </c>
      <c r="DQ121" s="399">
        <v>0</v>
      </c>
      <c r="DR121" s="399">
        <v>0</v>
      </c>
      <c r="DS121" s="399"/>
      <c r="DT121" s="399"/>
      <c r="DU121" s="399"/>
      <c r="DV121" s="399">
        <v>0</v>
      </c>
      <c r="DW121" s="399">
        <v>0</v>
      </c>
      <c r="DX121" s="399">
        <v>0</v>
      </c>
      <c r="DY121" s="399">
        <v>-13594.116269999999</v>
      </c>
      <c r="DZ121" s="399">
        <v>0</v>
      </c>
      <c r="EA121" s="399">
        <v>0</v>
      </c>
      <c r="EB121" s="399">
        <v>0</v>
      </c>
      <c r="EC121" s="399">
        <v>0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229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8" customFormat="1">
      <c r="A122" s="399">
        <v>120</v>
      </c>
      <c r="B122" s="399" t="s">
        <v>2339</v>
      </c>
      <c r="C122" s="399" t="s">
        <v>2344</v>
      </c>
      <c r="D122" s="399" t="s">
        <v>533</v>
      </c>
      <c r="E122" s="399" t="s">
        <v>888</v>
      </c>
      <c r="F122" s="399" t="s">
        <v>1237</v>
      </c>
      <c r="G122" s="399" t="s">
        <v>1237</v>
      </c>
      <c r="H122" s="399" t="s">
        <v>1237</v>
      </c>
      <c r="I122" s="399" t="s">
        <v>2322</v>
      </c>
      <c r="J122" s="399" t="s">
        <v>2337</v>
      </c>
      <c r="K122" s="788">
        <v>44562</v>
      </c>
      <c r="L122" s="399">
        <v>0</v>
      </c>
      <c r="M122" s="399">
        <v>0</v>
      </c>
      <c r="N122" s="399">
        <v>5.4139999999999997</v>
      </c>
      <c r="O122" s="399">
        <v>5.4139999999999997</v>
      </c>
      <c r="P122" s="399">
        <v>5.4139999999999997</v>
      </c>
      <c r="Q122" s="399">
        <v>5.4139999999999997</v>
      </c>
      <c r="R122" s="399"/>
      <c r="S122" s="399">
        <v>72.13</v>
      </c>
      <c r="T122" s="399">
        <v>119.97</v>
      </c>
      <c r="U122" s="399"/>
      <c r="V122" s="399">
        <v>1040.0293999999999</v>
      </c>
      <c r="W122" s="399">
        <v>1040.0293999999999</v>
      </c>
      <c r="X122" s="399">
        <v>1007.05814</v>
      </c>
      <c r="Y122" s="399">
        <v>0</v>
      </c>
      <c r="Z122" s="399">
        <v>286.82584389127896</v>
      </c>
      <c r="AA122" s="399">
        <v>0</v>
      </c>
      <c r="AB122" s="399">
        <v>0</v>
      </c>
      <c r="AC122" s="399">
        <v>0</v>
      </c>
      <c r="AD122" s="399">
        <v>0</v>
      </c>
      <c r="AE122" s="399">
        <v>0</v>
      </c>
      <c r="AF122" s="399">
        <v>649.53838369308596</v>
      </c>
      <c r="AG122" s="399">
        <v>0</v>
      </c>
      <c r="AH122" s="399">
        <v>0</v>
      </c>
      <c r="AI122" s="399">
        <v>0</v>
      </c>
      <c r="AJ122" s="399">
        <v>0</v>
      </c>
      <c r="AK122" s="399">
        <v>0</v>
      </c>
      <c r="AL122" s="399">
        <v>50.946963070549145</v>
      </c>
      <c r="AM122" s="399"/>
      <c r="AN122" s="399">
        <v>4.5517230076815194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48.205429850191891</v>
      </c>
      <c r="BH122" s="399">
        <v>0</v>
      </c>
      <c r="BI122" s="399">
        <v>0</v>
      </c>
      <c r="BJ122" s="399">
        <v>0</v>
      </c>
      <c r="BK122" s="399">
        <v>0</v>
      </c>
      <c r="BL122" s="399">
        <v>0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697.74381354327784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1006.3141000000001</v>
      </c>
      <c r="CJ122" s="399">
        <v>-33.745299999999816</v>
      </c>
      <c r="CK122" s="399"/>
      <c r="CL122" s="399"/>
      <c r="CM122" s="399"/>
      <c r="CN122" s="399"/>
      <c r="CO122" s="399">
        <v>-32.971259999999937</v>
      </c>
      <c r="CP122" s="399">
        <v>0</v>
      </c>
      <c r="CQ122" s="399">
        <v>31</v>
      </c>
      <c r="CR122" s="399">
        <v>-32.99393740683206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0</v>
      </c>
      <c r="DA122" s="399">
        <v>0</v>
      </c>
      <c r="DB122" s="399">
        <v>0</v>
      </c>
      <c r="DC122" s="399">
        <v>0</v>
      </c>
      <c r="DD122" s="399">
        <v>0</v>
      </c>
      <c r="DE122" s="399">
        <v>0</v>
      </c>
      <c r="DF122" s="399">
        <v>0</v>
      </c>
      <c r="DG122" s="399">
        <v>0</v>
      </c>
      <c r="DH122" s="399">
        <v>0</v>
      </c>
      <c r="DI122" s="399">
        <v>-28.275941400451416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-4.341613812166365</v>
      </c>
      <c r="DP122" s="399">
        <v>-0.37638219421422292</v>
      </c>
      <c r="DQ122" s="399">
        <v>0</v>
      </c>
      <c r="DR122" s="399">
        <v>0</v>
      </c>
      <c r="DS122" s="399"/>
      <c r="DT122" s="399"/>
      <c r="DU122" s="399"/>
      <c r="DV122" s="399">
        <v>0</v>
      </c>
      <c r="DW122" s="399">
        <v>0</v>
      </c>
      <c r="DX122" s="399">
        <v>0</v>
      </c>
      <c r="DY122" s="399">
        <v>-32.971259999999916</v>
      </c>
      <c r="DZ122" s="399">
        <v>0</v>
      </c>
      <c r="EA122" s="399">
        <v>0</v>
      </c>
      <c r="EB122" s="399">
        <v>0</v>
      </c>
      <c r="EC122" s="399">
        <v>0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229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8" customFormat="1">
      <c r="A123" s="399">
        <v>121</v>
      </c>
      <c r="B123" s="399" t="s">
        <v>954</v>
      </c>
      <c r="C123" s="399" t="s">
        <v>2344</v>
      </c>
      <c r="D123" s="399" t="s">
        <v>533</v>
      </c>
      <c r="E123" s="399" t="s">
        <v>888</v>
      </c>
      <c r="F123" s="399" t="s">
        <v>1237</v>
      </c>
      <c r="G123" s="399" t="s">
        <v>1237</v>
      </c>
      <c r="H123" s="399" t="s">
        <v>1237</v>
      </c>
      <c r="I123" s="399" t="s">
        <v>1237</v>
      </c>
      <c r="J123" s="399" t="s">
        <v>2337</v>
      </c>
      <c r="K123" s="788">
        <v>44562</v>
      </c>
      <c r="L123" s="399">
        <v>10438</v>
      </c>
      <c r="M123" s="399">
        <v>10438</v>
      </c>
      <c r="N123" s="399">
        <v>0</v>
      </c>
      <c r="O123" s="399">
        <v>0</v>
      </c>
      <c r="P123" s="399">
        <v>0</v>
      </c>
      <c r="Q123" s="399">
        <v>0</v>
      </c>
      <c r="R123" s="399">
        <v>46.29</v>
      </c>
      <c r="S123" s="399"/>
      <c r="T123" s="399"/>
      <c r="U123" s="399">
        <v>483175.02</v>
      </c>
      <c r="V123" s="399"/>
      <c r="W123" s="399">
        <v>483175.02</v>
      </c>
      <c r="X123" s="399">
        <v>429523.7</v>
      </c>
      <c r="Y123" s="399">
        <v>0</v>
      </c>
      <c r="Z123" s="399">
        <v>0</v>
      </c>
      <c r="AA123" s="399">
        <v>0</v>
      </c>
      <c r="AB123" s="399">
        <v>0</v>
      </c>
      <c r="AC123" s="399">
        <v>0</v>
      </c>
      <c r="AD123" s="399">
        <v>186976.02315475896</v>
      </c>
      <c r="AE123" s="399">
        <v>296161.8446933126</v>
      </c>
      <c r="AF123" s="399"/>
      <c r="AG123" s="399"/>
      <c r="AH123" s="399"/>
      <c r="AI123" s="399">
        <v>0</v>
      </c>
      <c r="AJ123" s="399">
        <v>0</v>
      </c>
      <c r="AK123" s="399">
        <v>0</v>
      </c>
      <c r="AL123" s="399">
        <v>0</v>
      </c>
      <c r="AM123" s="399"/>
      <c r="AN123" s="399">
        <v>0</v>
      </c>
      <c r="AO123" s="399">
        <v>0</v>
      </c>
      <c r="AP123" s="399">
        <v>0</v>
      </c>
      <c r="AQ123" s="399">
        <v>0</v>
      </c>
      <c r="AR123" s="399">
        <v>0</v>
      </c>
      <c r="AS123" s="399"/>
      <c r="AT123" s="399"/>
      <c r="AU123" s="399">
        <v>0</v>
      </c>
      <c r="AV123" s="399">
        <v>0</v>
      </c>
      <c r="AW123" s="399">
        <v>0</v>
      </c>
      <c r="AX123" s="399"/>
      <c r="AY123" s="399"/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/>
      <c r="BG123" s="399">
        <v>0</v>
      </c>
      <c r="BH123" s="399">
        <v>0</v>
      </c>
      <c r="BI123" s="399">
        <v>0</v>
      </c>
      <c r="BJ123" s="399">
        <v>0</v>
      </c>
      <c r="BK123" s="399">
        <v>470934.46</v>
      </c>
      <c r="BL123" s="399">
        <v>26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0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429523.7</v>
      </c>
      <c r="CJ123" s="399">
        <v>-53651.350000000035</v>
      </c>
      <c r="CK123" s="399"/>
      <c r="CL123" s="399"/>
      <c r="CM123" s="399"/>
      <c r="CN123" s="399"/>
      <c r="CO123" s="399">
        <v>-53651.320000000007</v>
      </c>
      <c r="CP123" s="399">
        <v>0</v>
      </c>
      <c r="CQ123" s="399">
        <v>31</v>
      </c>
      <c r="CR123" s="399">
        <v>-1000.3553576033155</v>
      </c>
      <c r="CS123" s="399">
        <v>0</v>
      </c>
      <c r="CT123" s="399">
        <v>0</v>
      </c>
      <c r="CU123" s="399">
        <v>0</v>
      </c>
      <c r="CV123" s="399">
        <v>0</v>
      </c>
      <c r="CW123" s="399"/>
      <c r="CX123" s="399"/>
      <c r="CY123" s="399"/>
      <c r="CZ123" s="399">
        <v>-1000.3553576033155</v>
      </c>
      <c r="DA123" s="399">
        <v>0</v>
      </c>
      <c r="DB123" s="399">
        <v>0</v>
      </c>
      <c r="DC123" s="399"/>
      <c r="DD123" s="399"/>
      <c r="DE123" s="399">
        <v>0</v>
      </c>
      <c r="DF123" s="399">
        <v>0</v>
      </c>
      <c r="DG123" s="399">
        <v>0</v>
      </c>
      <c r="DH123" s="399">
        <v>0</v>
      </c>
      <c r="DI123" s="399">
        <v>0</v>
      </c>
      <c r="DJ123" s="399"/>
      <c r="DK123" s="399">
        <v>0</v>
      </c>
      <c r="DL123" s="399">
        <v>0</v>
      </c>
      <c r="DM123" s="399"/>
      <c r="DN123" s="399">
        <v>0</v>
      </c>
      <c r="DO123" s="399">
        <v>0</v>
      </c>
      <c r="DP123" s="399">
        <v>0</v>
      </c>
      <c r="DQ123" s="399">
        <v>0</v>
      </c>
      <c r="DR123" s="399">
        <v>0</v>
      </c>
      <c r="DS123" s="399"/>
      <c r="DT123" s="399"/>
      <c r="DU123" s="399">
        <v>296161.8446933126</v>
      </c>
      <c r="DV123" s="399"/>
      <c r="DW123" s="399">
        <v>0</v>
      </c>
      <c r="DX123" s="399">
        <v>0</v>
      </c>
      <c r="DY123" s="399">
        <v>-53651.320000000007</v>
      </c>
      <c r="DZ123" s="399"/>
      <c r="EA123" s="399">
        <v>0</v>
      </c>
      <c r="EB123" s="399"/>
      <c r="EC123" s="399">
        <v>-52626.173309130594</v>
      </c>
      <c r="ED123" s="399"/>
      <c r="EE123" s="399">
        <v>0</v>
      </c>
      <c r="EF123" s="399">
        <v>0</v>
      </c>
      <c r="EG123" s="399"/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/>
      <c r="EN123" s="399"/>
      <c r="EO123" s="399">
        <v>0</v>
      </c>
      <c r="EP123" s="399">
        <v>0</v>
      </c>
      <c r="EQ123" s="399"/>
      <c r="ER123" s="399">
        <v>0</v>
      </c>
      <c r="ES123" s="399"/>
      <c r="ET123" s="399">
        <v>0</v>
      </c>
      <c r="EU123" s="399"/>
      <c r="EV123" s="399">
        <v>229</v>
      </c>
      <c r="EW123" s="399"/>
      <c r="EX123" s="399"/>
      <c r="EY123" s="399"/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8" customFormat="1">
      <c r="A124" s="399">
        <v>122</v>
      </c>
      <c r="B124" s="399" t="s">
        <v>2339</v>
      </c>
      <c r="C124" s="399" t="s">
        <v>2344</v>
      </c>
      <c r="D124" s="399" t="s">
        <v>533</v>
      </c>
      <c r="E124" s="399" t="s">
        <v>888</v>
      </c>
      <c r="F124" s="399" t="s">
        <v>1237</v>
      </c>
      <c r="G124" s="399" t="s">
        <v>1237</v>
      </c>
      <c r="H124" s="399" t="s">
        <v>1237</v>
      </c>
      <c r="I124" s="399" t="s">
        <v>1237</v>
      </c>
      <c r="J124" s="399" t="s">
        <v>2337</v>
      </c>
      <c r="K124" s="788">
        <v>44562</v>
      </c>
      <c r="L124" s="399">
        <v>57</v>
      </c>
      <c r="M124" s="399">
        <v>57</v>
      </c>
      <c r="N124" s="399">
        <v>0</v>
      </c>
      <c r="O124" s="399">
        <v>0</v>
      </c>
      <c r="P124" s="399">
        <v>0</v>
      </c>
      <c r="Q124" s="399">
        <v>0</v>
      </c>
      <c r="R124" s="399">
        <v>46.29</v>
      </c>
      <c r="S124" s="399"/>
      <c r="T124" s="399"/>
      <c r="U124" s="399">
        <v>2638.5299999999997</v>
      </c>
      <c r="V124" s="399"/>
      <c r="W124" s="399">
        <v>2638.5299999999997</v>
      </c>
      <c r="X124" s="399">
        <v>2345.5499999999997</v>
      </c>
      <c r="Y124" s="399">
        <v>0</v>
      </c>
      <c r="Z124" s="399">
        <v>0</v>
      </c>
      <c r="AA124" s="399">
        <v>0</v>
      </c>
      <c r="AB124" s="399">
        <v>0</v>
      </c>
      <c r="AC124" s="399">
        <v>0</v>
      </c>
      <c r="AD124" s="399">
        <v>1021.0417052904064</v>
      </c>
      <c r="AE124" s="399">
        <v>1617.2854136346828</v>
      </c>
      <c r="AF124" s="399"/>
      <c r="AG124" s="399"/>
      <c r="AH124" s="399"/>
      <c r="AI124" s="399">
        <v>0</v>
      </c>
      <c r="AJ124" s="399">
        <v>0</v>
      </c>
      <c r="AK124" s="399">
        <v>0</v>
      </c>
      <c r="AL124" s="399">
        <v>0</v>
      </c>
      <c r="AM124" s="399"/>
      <c r="AN124" s="399">
        <v>0</v>
      </c>
      <c r="AO124" s="399">
        <v>0</v>
      </c>
      <c r="AP124" s="399">
        <v>0</v>
      </c>
      <c r="AQ124" s="399">
        <v>0</v>
      </c>
      <c r="AR124" s="399">
        <v>0</v>
      </c>
      <c r="AS124" s="399"/>
      <c r="AT124" s="399"/>
      <c r="AU124" s="399">
        <v>0</v>
      </c>
      <c r="AV124" s="399">
        <v>0</v>
      </c>
      <c r="AW124" s="399">
        <v>0</v>
      </c>
      <c r="AX124" s="399"/>
      <c r="AY124" s="399"/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/>
      <c r="BG124" s="399">
        <v>0</v>
      </c>
      <c r="BH124" s="399">
        <v>0</v>
      </c>
      <c r="BI124" s="399">
        <v>0</v>
      </c>
      <c r="BJ124" s="399">
        <v>0</v>
      </c>
      <c r="BK124" s="399">
        <v>3773.53</v>
      </c>
      <c r="BL124" s="399">
        <v>1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0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2345.5499999999997</v>
      </c>
      <c r="CJ124" s="399">
        <v>-293.01000000000067</v>
      </c>
      <c r="CK124" s="399"/>
      <c r="CL124" s="399"/>
      <c r="CM124" s="399"/>
      <c r="CN124" s="399"/>
      <c r="CO124" s="399">
        <v>-292.98</v>
      </c>
      <c r="CP124" s="399">
        <v>0</v>
      </c>
      <c r="CQ124" s="399">
        <v>31</v>
      </c>
      <c r="CR124" s="399">
        <v>-5.4627567908976289</v>
      </c>
      <c r="CS124" s="399">
        <v>0</v>
      </c>
      <c r="CT124" s="399">
        <v>0</v>
      </c>
      <c r="CU124" s="399">
        <v>0</v>
      </c>
      <c r="CV124" s="399">
        <v>0</v>
      </c>
      <c r="CW124" s="399"/>
      <c r="CX124" s="399"/>
      <c r="CY124" s="399"/>
      <c r="CZ124" s="399">
        <v>-5.4627567908976289</v>
      </c>
      <c r="DA124" s="399">
        <v>0</v>
      </c>
      <c r="DB124" s="399">
        <v>0</v>
      </c>
      <c r="DC124" s="399"/>
      <c r="DD124" s="399"/>
      <c r="DE124" s="399">
        <v>0</v>
      </c>
      <c r="DF124" s="399">
        <v>0</v>
      </c>
      <c r="DG124" s="399">
        <v>0</v>
      </c>
      <c r="DH124" s="399">
        <v>0</v>
      </c>
      <c r="DI124" s="399">
        <v>0</v>
      </c>
      <c r="DJ124" s="399"/>
      <c r="DK124" s="399">
        <v>0</v>
      </c>
      <c r="DL124" s="399">
        <v>0</v>
      </c>
      <c r="DM124" s="399"/>
      <c r="DN124" s="399">
        <v>0</v>
      </c>
      <c r="DO124" s="399">
        <v>0</v>
      </c>
      <c r="DP124" s="399">
        <v>0</v>
      </c>
      <c r="DQ124" s="399">
        <v>0</v>
      </c>
      <c r="DR124" s="399">
        <v>0</v>
      </c>
      <c r="DS124" s="399"/>
      <c r="DT124" s="399"/>
      <c r="DU124" s="399">
        <v>1617.2854136346828</v>
      </c>
      <c r="DV124" s="399"/>
      <c r="DW124" s="399">
        <v>0</v>
      </c>
      <c r="DX124" s="399">
        <v>0</v>
      </c>
      <c r="DY124" s="399">
        <v>-292.98</v>
      </c>
      <c r="DZ124" s="399"/>
      <c r="EA124" s="399">
        <v>0</v>
      </c>
      <c r="EB124" s="399"/>
      <c r="EC124" s="399">
        <v>-287.3818622935853</v>
      </c>
      <c r="ED124" s="399"/>
      <c r="EE124" s="399">
        <v>0</v>
      </c>
      <c r="EF124" s="399">
        <v>0</v>
      </c>
      <c r="EG124" s="399"/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/>
      <c r="EN124" s="399"/>
      <c r="EO124" s="399">
        <v>0</v>
      </c>
      <c r="EP124" s="399">
        <v>0</v>
      </c>
      <c r="EQ124" s="399"/>
      <c r="ER124" s="399">
        <v>0</v>
      </c>
      <c r="ES124" s="399"/>
      <c r="ET124" s="399">
        <v>0</v>
      </c>
      <c r="EU124" s="399"/>
      <c r="EV124" s="399">
        <v>229</v>
      </c>
      <c r="EW124" s="399"/>
      <c r="EX124" s="399"/>
      <c r="EY124" s="399"/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8" customFormat="1">
      <c r="A125" s="399">
        <v>123</v>
      </c>
      <c r="B125" s="399" t="s">
        <v>954</v>
      </c>
      <c r="C125" s="399" t="s">
        <v>2345</v>
      </c>
      <c r="D125" s="399" t="s">
        <v>1822</v>
      </c>
      <c r="E125" s="399" t="s">
        <v>888</v>
      </c>
      <c r="F125" s="399" t="s">
        <v>1237</v>
      </c>
      <c r="G125" s="399" t="s">
        <v>1237</v>
      </c>
      <c r="H125" s="399" t="s">
        <v>1237</v>
      </c>
      <c r="I125" s="399" t="s">
        <v>891</v>
      </c>
      <c r="J125" s="399" t="s">
        <v>2337</v>
      </c>
      <c r="K125" s="788">
        <v>44562</v>
      </c>
      <c r="L125" s="399">
        <v>0</v>
      </c>
      <c r="M125" s="399">
        <v>0</v>
      </c>
      <c r="N125" s="399">
        <v>7.2999999999999995E-2</v>
      </c>
      <c r="O125" s="399">
        <v>7.2999999999999995E-2</v>
      </c>
      <c r="P125" s="399">
        <v>7.2999999999999995E-2</v>
      </c>
      <c r="Q125" s="399">
        <v>7.2999999999999995E-2</v>
      </c>
      <c r="R125" s="399"/>
      <c r="S125" s="399">
        <v>2187.66</v>
      </c>
      <c r="T125" s="399">
        <v>119.97</v>
      </c>
      <c r="U125" s="399"/>
      <c r="V125" s="399">
        <v>168.45698999999999</v>
      </c>
      <c r="W125" s="399">
        <v>168.45698999999999</v>
      </c>
      <c r="X125" s="399">
        <v>145.33935</v>
      </c>
      <c r="Y125" s="399">
        <v>0</v>
      </c>
      <c r="Z125" s="399">
        <v>4.4453262092029133</v>
      </c>
      <c r="AA125" s="399">
        <v>0</v>
      </c>
      <c r="AB125" s="399">
        <v>0</v>
      </c>
      <c r="AC125" s="399">
        <v>0</v>
      </c>
      <c r="AD125" s="399">
        <v>26.688554339708613</v>
      </c>
      <c r="AE125" s="399">
        <v>126.4238700292169</v>
      </c>
      <c r="AF125" s="399">
        <v>8.7580905078676157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0.68694649134652519</v>
      </c>
      <c r="AM125" s="399"/>
      <c r="AN125" s="399">
        <v>0.15704480883810007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1.2973861859694775</v>
      </c>
      <c r="BH125" s="399">
        <v>0</v>
      </c>
      <c r="BI125" s="399">
        <v>0</v>
      </c>
      <c r="BJ125" s="399">
        <v>0</v>
      </c>
      <c r="BK125" s="399">
        <v>0</v>
      </c>
      <c r="BL125" s="399">
        <v>0</v>
      </c>
      <c r="BM125" s="399"/>
      <c r="BN125" s="399"/>
      <c r="BO125" s="399"/>
      <c r="BP125" s="399"/>
      <c r="BQ125" s="399"/>
      <c r="BR125" s="399"/>
      <c r="BS125" s="399"/>
      <c r="BT125" s="399"/>
      <c r="BU125" s="399"/>
      <c r="BV125" s="399">
        <v>10.055476693837093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139.3665</v>
      </c>
      <c r="CJ125" s="399">
        <v>-29.120489999999961</v>
      </c>
      <c r="CK125" s="399"/>
      <c r="CL125" s="399"/>
      <c r="CM125" s="399"/>
      <c r="CN125" s="399"/>
      <c r="CO125" s="399">
        <v>-23.117639999999987</v>
      </c>
      <c r="CP125" s="399">
        <v>0</v>
      </c>
      <c r="CQ125" s="399">
        <v>31</v>
      </c>
      <c r="CR125" s="399">
        <v>-0.65254535171290939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-0.14278856652284944</v>
      </c>
      <c r="DA125" s="399">
        <v>0</v>
      </c>
      <c r="DB125" s="399">
        <v>0</v>
      </c>
      <c r="DC125" s="399">
        <v>0</v>
      </c>
      <c r="DD125" s="399">
        <v>0</v>
      </c>
      <c r="DE125" s="399">
        <v>0</v>
      </c>
      <c r="DF125" s="399">
        <v>0</v>
      </c>
      <c r="DG125" s="399">
        <v>0</v>
      </c>
      <c r="DH125" s="399">
        <v>0</v>
      </c>
      <c r="DI125" s="399">
        <v>-0.43823032712825682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-5.8540415273022561E-2</v>
      </c>
      <c r="DP125" s="399">
        <v>-1.298604278878257E-2</v>
      </c>
      <c r="DQ125" s="399">
        <v>0</v>
      </c>
      <c r="DR125" s="399">
        <v>0</v>
      </c>
      <c r="DS125" s="399"/>
      <c r="DT125" s="399"/>
      <c r="DU125" s="399"/>
      <c r="DV125" s="399">
        <v>126.4238700292169</v>
      </c>
      <c r="DW125" s="399">
        <v>0</v>
      </c>
      <c r="DX125" s="399">
        <v>0</v>
      </c>
      <c r="DY125" s="399">
        <v>-23.117639999999994</v>
      </c>
      <c r="DZ125" s="399">
        <v>0</v>
      </c>
      <c r="EA125" s="399">
        <v>0</v>
      </c>
      <c r="EB125" s="399">
        <v>0</v>
      </c>
      <c r="EC125" s="399">
        <v>-22.464759096358961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229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8" customFormat="1">
      <c r="A126" s="399">
        <v>124</v>
      </c>
      <c r="B126" s="399" t="s">
        <v>954</v>
      </c>
      <c r="C126" s="399" t="s">
        <v>2345</v>
      </c>
      <c r="D126" s="399" t="s">
        <v>1822</v>
      </c>
      <c r="E126" s="399" t="s">
        <v>888</v>
      </c>
      <c r="F126" s="399" t="s">
        <v>1237</v>
      </c>
      <c r="G126" s="399" t="s">
        <v>1237</v>
      </c>
      <c r="H126" s="399" t="s">
        <v>1237</v>
      </c>
      <c r="I126" s="399" t="s">
        <v>2322</v>
      </c>
      <c r="J126" s="399" t="s">
        <v>2337</v>
      </c>
      <c r="K126" s="788">
        <v>44562</v>
      </c>
      <c r="L126" s="399">
        <v>0</v>
      </c>
      <c r="M126" s="399">
        <v>0</v>
      </c>
      <c r="N126" s="399">
        <v>21.280999999999999</v>
      </c>
      <c r="O126" s="399">
        <v>21.280999999999999</v>
      </c>
      <c r="P126" s="399">
        <v>21.280999999999999</v>
      </c>
      <c r="Q126" s="399">
        <v>21.280999999999999</v>
      </c>
      <c r="R126" s="399"/>
      <c r="S126" s="399">
        <v>509.72</v>
      </c>
      <c r="T126" s="399">
        <v>119.97</v>
      </c>
      <c r="U126" s="399"/>
      <c r="V126" s="399">
        <v>13400.43289</v>
      </c>
      <c r="W126" s="399">
        <v>13400.43289</v>
      </c>
      <c r="X126" s="399">
        <v>11933.53356</v>
      </c>
      <c r="Y126" s="399">
        <v>0</v>
      </c>
      <c r="Z126" s="399">
        <v>1295.9039323020163</v>
      </c>
      <c r="AA126" s="399">
        <v>0</v>
      </c>
      <c r="AB126" s="399">
        <v>0</v>
      </c>
      <c r="AC126" s="399">
        <v>0</v>
      </c>
      <c r="AD126" s="399">
        <v>1556.0523969954475</v>
      </c>
      <c r="AE126" s="399">
        <v>7371.0372200742622</v>
      </c>
      <c r="AF126" s="399">
        <v>2553.1633438072704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200.25901756637538</v>
      </c>
      <c r="AM126" s="399"/>
      <c r="AN126" s="399">
        <v>45.781788724432978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378.21473183036233</v>
      </c>
      <c r="BH126" s="399">
        <v>0</v>
      </c>
      <c r="BI126" s="399">
        <v>0</v>
      </c>
      <c r="BJ126" s="399">
        <v>0</v>
      </c>
      <c r="BK126" s="399">
        <v>0</v>
      </c>
      <c r="BL126" s="399">
        <v>0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2931.3780756376327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11932.972800000001</v>
      </c>
      <c r="CJ126" s="399">
        <v>-1467.4900899999993</v>
      </c>
      <c r="CK126" s="399"/>
      <c r="CL126" s="399"/>
      <c r="CM126" s="399"/>
      <c r="CN126" s="399"/>
      <c r="CO126" s="399">
        <v>-1466.89933</v>
      </c>
      <c r="CP126" s="399">
        <v>0</v>
      </c>
      <c r="CQ126" s="399">
        <v>31</v>
      </c>
      <c r="CR126" s="399">
        <v>-156.92973756800166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-8.325160230608617</v>
      </c>
      <c r="DA126" s="399">
        <v>0</v>
      </c>
      <c r="DB126" s="399">
        <v>0</v>
      </c>
      <c r="DC126" s="399">
        <v>0</v>
      </c>
      <c r="DD126" s="399">
        <v>0</v>
      </c>
      <c r="DE126" s="399">
        <v>0</v>
      </c>
      <c r="DF126" s="399">
        <v>0</v>
      </c>
      <c r="DG126" s="399">
        <v>0</v>
      </c>
      <c r="DH126" s="399">
        <v>0</v>
      </c>
      <c r="DI126" s="399">
        <v>-127.75314509063605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-17.06573393733143</v>
      </c>
      <c r="DP126" s="399">
        <v>-3.7856983094257757</v>
      </c>
      <c r="DQ126" s="399">
        <v>0</v>
      </c>
      <c r="DR126" s="399">
        <v>0</v>
      </c>
      <c r="DS126" s="399"/>
      <c r="DT126" s="399"/>
      <c r="DU126" s="399"/>
      <c r="DV126" s="399">
        <v>7371.0372200742622</v>
      </c>
      <c r="DW126" s="399">
        <v>0</v>
      </c>
      <c r="DX126" s="399">
        <v>0</v>
      </c>
      <c r="DY126" s="399">
        <v>-1466.8993300000002</v>
      </c>
      <c r="DZ126" s="399">
        <v>0</v>
      </c>
      <c r="EA126" s="399">
        <v>0</v>
      </c>
      <c r="EB126" s="399">
        <v>0</v>
      </c>
      <c r="EC126" s="399">
        <v>-1309.7888508000569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229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8" customFormat="1">
      <c r="A127" s="399">
        <v>125</v>
      </c>
      <c r="B127" s="399" t="s">
        <v>954</v>
      </c>
      <c r="C127" s="399" t="s">
        <v>2345</v>
      </c>
      <c r="D127" s="399" t="s">
        <v>1822</v>
      </c>
      <c r="E127" s="399" t="s">
        <v>888</v>
      </c>
      <c r="F127" s="399" t="s">
        <v>1237</v>
      </c>
      <c r="G127" s="399" t="s">
        <v>1237</v>
      </c>
      <c r="H127" s="399" t="s">
        <v>1237</v>
      </c>
      <c r="I127" s="399" t="s">
        <v>1237</v>
      </c>
      <c r="J127" s="399" t="s">
        <v>2337</v>
      </c>
      <c r="K127" s="788">
        <v>44562</v>
      </c>
      <c r="L127" s="399">
        <v>0</v>
      </c>
      <c r="M127" s="399">
        <v>0</v>
      </c>
      <c r="N127" s="399">
        <v>0</v>
      </c>
      <c r="O127" s="399">
        <v>0</v>
      </c>
      <c r="P127" s="399">
        <v>0</v>
      </c>
      <c r="Q127" s="399">
        <v>0</v>
      </c>
      <c r="R127" s="399"/>
      <c r="S127" s="399"/>
      <c r="T127" s="399"/>
      <c r="U127" s="399"/>
      <c r="V127" s="399"/>
      <c r="W127" s="399"/>
      <c r="X127" s="399"/>
      <c r="Y127" s="399"/>
      <c r="Z127" s="399"/>
      <c r="AA127" s="399">
        <v>0</v>
      </c>
      <c r="AB127" s="399"/>
      <c r="AC127" s="399"/>
      <c r="AD127" s="399"/>
      <c r="AE127" s="399"/>
      <c r="AF127" s="399"/>
      <c r="AG127" s="399"/>
      <c r="AH127" s="399"/>
      <c r="AI127" s="399"/>
      <c r="AJ127" s="399"/>
      <c r="AK127" s="399"/>
      <c r="AL127" s="399"/>
      <c r="AM127" s="399"/>
      <c r="AN127" s="399"/>
      <c r="AO127" s="399"/>
      <c r="AP127" s="399"/>
      <c r="AQ127" s="399"/>
      <c r="AR127" s="399"/>
      <c r="AS127" s="399"/>
      <c r="AT127" s="399"/>
      <c r="AU127" s="399"/>
      <c r="AV127" s="399"/>
      <c r="AW127" s="399"/>
      <c r="AX127" s="399"/>
      <c r="AY127" s="399"/>
      <c r="AZ127" s="399">
        <v>0</v>
      </c>
      <c r="BA127" s="399"/>
      <c r="BB127" s="399"/>
      <c r="BC127" s="399"/>
      <c r="BD127" s="399"/>
      <c r="BE127" s="399"/>
      <c r="BF127" s="399"/>
      <c r="BG127" s="399"/>
      <c r="BH127" s="399"/>
      <c r="BI127" s="399">
        <v>0</v>
      </c>
      <c r="BJ127" s="399">
        <v>0</v>
      </c>
      <c r="BK127" s="399">
        <v>5085.6400000000003</v>
      </c>
      <c r="BL127" s="399">
        <v>7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/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/>
      <c r="CJ127" s="399">
        <v>-0.03</v>
      </c>
      <c r="CK127" s="399"/>
      <c r="CL127" s="399"/>
      <c r="CM127" s="399"/>
      <c r="CN127" s="399"/>
      <c r="CO127" s="399">
        <v>0</v>
      </c>
      <c r="CP127" s="399">
        <v>0</v>
      </c>
      <c r="CQ127" s="399">
        <v>31</v>
      </c>
      <c r="CR127" s="399"/>
      <c r="CS127" s="399"/>
      <c r="CT127" s="399"/>
      <c r="CU127" s="399"/>
      <c r="CV127" s="399"/>
      <c r="CW127" s="399"/>
      <c r="CX127" s="399"/>
      <c r="CY127" s="399"/>
      <c r="CZ127" s="399"/>
      <c r="DA127" s="399"/>
      <c r="DB127" s="399"/>
      <c r="DC127" s="399"/>
      <c r="DD127" s="399"/>
      <c r="DE127" s="399"/>
      <c r="DF127" s="399"/>
      <c r="DG127" s="399"/>
      <c r="DH127" s="399"/>
      <c r="DI127" s="399"/>
      <c r="DJ127" s="399"/>
      <c r="DK127" s="399">
        <v>0</v>
      </c>
      <c r="DL127" s="399"/>
      <c r="DM127" s="399"/>
      <c r="DN127" s="399"/>
      <c r="DO127" s="399"/>
      <c r="DP127" s="399"/>
      <c r="DQ127" s="399"/>
      <c r="DR127" s="399"/>
      <c r="DS127" s="399"/>
      <c r="DT127" s="399"/>
      <c r="DU127" s="399"/>
      <c r="DV127" s="399"/>
      <c r="DW127" s="399"/>
      <c r="DX127" s="399"/>
      <c r="DY127" s="399"/>
      <c r="DZ127" s="399"/>
      <c r="EA127" s="399"/>
      <c r="EB127" s="399"/>
      <c r="EC127" s="399"/>
      <c r="ED127" s="399"/>
      <c r="EE127" s="399"/>
      <c r="EF127" s="399"/>
      <c r="EG127" s="399"/>
      <c r="EH127" s="399"/>
      <c r="EI127" s="399"/>
      <c r="EJ127" s="399"/>
      <c r="EK127" s="399"/>
      <c r="EL127" s="399"/>
      <c r="EM127" s="399"/>
      <c r="EN127" s="399"/>
      <c r="EO127" s="399"/>
      <c r="EP127" s="399"/>
      <c r="EQ127" s="399"/>
      <c r="ER127" s="399"/>
      <c r="ES127" s="399"/>
      <c r="ET127" s="399"/>
      <c r="EU127" s="399"/>
      <c r="EV127" s="399">
        <v>229</v>
      </c>
      <c r="EW127" s="399"/>
      <c r="EX127" s="399"/>
      <c r="EY127" s="399"/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8" customFormat="1">
      <c r="A128" s="399">
        <v>126</v>
      </c>
      <c r="B128" s="399" t="s">
        <v>2339</v>
      </c>
      <c r="C128" s="399" t="s">
        <v>2345</v>
      </c>
      <c r="D128" s="399" t="s">
        <v>1822</v>
      </c>
      <c r="E128" s="399" t="s">
        <v>888</v>
      </c>
      <c r="F128" s="399" t="s">
        <v>1237</v>
      </c>
      <c r="G128" s="399" t="s">
        <v>1237</v>
      </c>
      <c r="H128" s="399" t="s">
        <v>1237</v>
      </c>
      <c r="I128" s="399" t="s">
        <v>1237</v>
      </c>
      <c r="J128" s="399" t="s">
        <v>2337</v>
      </c>
      <c r="K128" s="788">
        <v>44562</v>
      </c>
      <c r="L128" s="399">
        <v>0</v>
      </c>
      <c r="M128" s="399">
        <v>0</v>
      </c>
      <c r="N128" s="399">
        <v>0</v>
      </c>
      <c r="O128" s="399">
        <v>0</v>
      </c>
      <c r="P128" s="399">
        <v>0</v>
      </c>
      <c r="Q128" s="399">
        <v>0</v>
      </c>
      <c r="R128" s="399"/>
      <c r="S128" s="399"/>
      <c r="T128" s="399"/>
      <c r="U128" s="399"/>
      <c r="V128" s="399"/>
      <c r="W128" s="399"/>
      <c r="X128" s="399"/>
      <c r="Y128" s="399"/>
      <c r="Z128" s="399"/>
      <c r="AA128" s="399">
        <v>0</v>
      </c>
      <c r="AB128" s="399"/>
      <c r="AC128" s="399"/>
      <c r="AD128" s="399"/>
      <c r="AE128" s="399"/>
      <c r="AF128" s="399"/>
      <c r="AG128" s="399"/>
      <c r="AH128" s="399"/>
      <c r="AI128" s="399"/>
      <c r="AJ128" s="399"/>
      <c r="AK128" s="399"/>
      <c r="AL128" s="399"/>
      <c r="AM128" s="399"/>
      <c r="AN128" s="399"/>
      <c r="AO128" s="399"/>
      <c r="AP128" s="399"/>
      <c r="AQ128" s="399"/>
      <c r="AR128" s="399"/>
      <c r="AS128" s="399"/>
      <c r="AT128" s="399"/>
      <c r="AU128" s="399"/>
      <c r="AV128" s="399"/>
      <c r="AW128" s="399"/>
      <c r="AX128" s="399"/>
      <c r="AY128" s="399"/>
      <c r="AZ128" s="399">
        <v>0</v>
      </c>
      <c r="BA128" s="399"/>
      <c r="BB128" s="399"/>
      <c r="BC128" s="399"/>
      <c r="BD128" s="399"/>
      <c r="BE128" s="399"/>
      <c r="BF128" s="399"/>
      <c r="BG128" s="399"/>
      <c r="BH128" s="399"/>
      <c r="BI128" s="399">
        <v>0</v>
      </c>
      <c r="BJ128" s="399">
        <v>0</v>
      </c>
      <c r="BK128" s="399">
        <v>431.2</v>
      </c>
      <c r="BL128" s="399">
        <v>2</v>
      </c>
      <c r="BM128" s="399"/>
      <c r="BN128" s="399"/>
      <c r="BO128" s="399"/>
      <c r="BP128" s="399"/>
      <c r="BQ128" s="399"/>
      <c r="BR128" s="399"/>
      <c r="BS128" s="399"/>
      <c r="BT128" s="399"/>
      <c r="BU128" s="399"/>
      <c r="BV128" s="399"/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/>
      <c r="CJ128" s="399">
        <v>-0.03</v>
      </c>
      <c r="CK128" s="399"/>
      <c r="CL128" s="399"/>
      <c r="CM128" s="399"/>
      <c r="CN128" s="399"/>
      <c r="CO128" s="399">
        <v>0</v>
      </c>
      <c r="CP128" s="399">
        <v>0</v>
      </c>
      <c r="CQ128" s="399">
        <v>31</v>
      </c>
      <c r="CR128" s="399"/>
      <c r="CS128" s="399"/>
      <c r="CT128" s="399"/>
      <c r="CU128" s="399"/>
      <c r="CV128" s="399"/>
      <c r="CW128" s="399"/>
      <c r="CX128" s="399"/>
      <c r="CY128" s="399"/>
      <c r="CZ128" s="399"/>
      <c r="DA128" s="399"/>
      <c r="DB128" s="399"/>
      <c r="DC128" s="399"/>
      <c r="DD128" s="399"/>
      <c r="DE128" s="399"/>
      <c r="DF128" s="399"/>
      <c r="DG128" s="399"/>
      <c r="DH128" s="399"/>
      <c r="DI128" s="399"/>
      <c r="DJ128" s="399"/>
      <c r="DK128" s="399">
        <v>0</v>
      </c>
      <c r="DL128" s="399"/>
      <c r="DM128" s="399"/>
      <c r="DN128" s="399"/>
      <c r="DO128" s="399"/>
      <c r="DP128" s="399"/>
      <c r="DQ128" s="399"/>
      <c r="DR128" s="399"/>
      <c r="DS128" s="399"/>
      <c r="DT128" s="399"/>
      <c r="DU128" s="399"/>
      <c r="DV128" s="399"/>
      <c r="DW128" s="399"/>
      <c r="DX128" s="399"/>
      <c r="DY128" s="399"/>
      <c r="DZ128" s="399"/>
      <c r="EA128" s="399"/>
      <c r="EB128" s="399"/>
      <c r="EC128" s="399"/>
      <c r="ED128" s="399"/>
      <c r="EE128" s="399"/>
      <c r="EF128" s="399"/>
      <c r="EG128" s="399"/>
      <c r="EH128" s="399"/>
      <c r="EI128" s="399"/>
      <c r="EJ128" s="399"/>
      <c r="EK128" s="399"/>
      <c r="EL128" s="399"/>
      <c r="EM128" s="399"/>
      <c r="EN128" s="399"/>
      <c r="EO128" s="399"/>
      <c r="EP128" s="399"/>
      <c r="EQ128" s="399"/>
      <c r="ER128" s="399"/>
      <c r="ES128" s="399"/>
      <c r="ET128" s="399"/>
      <c r="EU128" s="399"/>
      <c r="EV128" s="399">
        <v>229</v>
      </c>
      <c r="EW128" s="399"/>
      <c r="EX128" s="399"/>
      <c r="EY128" s="399"/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8" customFormat="1">
      <c r="A129" s="399">
        <v>127</v>
      </c>
      <c r="B129" s="399" t="s">
        <v>954</v>
      </c>
      <c r="C129" s="399" t="s">
        <v>2345</v>
      </c>
      <c r="D129" s="399" t="s">
        <v>1822</v>
      </c>
      <c r="E129" s="399" t="s">
        <v>888</v>
      </c>
      <c r="F129" s="399" t="s">
        <v>1237</v>
      </c>
      <c r="G129" s="399" t="s">
        <v>1237</v>
      </c>
      <c r="H129" s="399" t="s">
        <v>1237</v>
      </c>
      <c r="I129" s="399" t="s">
        <v>2346</v>
      </c>
      <c r="J129" s="399" t="s">
        <v>2337</v>
      </c>
      <c r="K129" s="788">
        <v>44562</v>
      </c>
      <c r="L129" s="399">
        <v>0</v>
      </c>
      <c r="M129" s="399">
        <v>0</v>
      </c>
      <c r="N129" s="399">
        <v>0.10299999999999999</v>
      </c>
      <c r="O129" s="399">
        <v>0.10299999999999999</v>
      </c>
      <c r="P129" s="399">
        <v>0.10299999999999999</v>
      </c>
      <c r="Q129" s="399">
        <v>0.10299999999999999</v>
      </c>
      <c r="R129" s="399"/>
      <c r="S129" s="399">
        <v>1348.63</v>
      </c>
      <c r="T129" s="399">
        <v>119.97</v>
      </c>
      <c r="U129" s="399"/>
      <c r="V129" s="399">
        <v>151.26580000000001</v>
      </c>
      <c r="W129" s="399">
        <v>151.26580000000001</v>
      </c>
      <c r="X129" s="399">
        <v>131.4074</v>
      </c>
      <c r="Y129" s="399">
        <v>0</v>
      </c>
      <c r="Z129" s="399">
        <v>6.272172596546576</v>
      </c>
      <c r="AA129" s="399">
        <v>0</v>
      </c>
      <c r="AB129" s="399">
        <v>0</v>
      </c>
      <c r="AC129" s="399">
        <v>0</v>
      </c>
      <c r="AD129" s="399">
        <v>22.587574964271443</v>
      </c>
      <c r="AE129" s="399">
        <v>107.02732130965248</v>
      </c>
      <c r="AF129" s="399">
        <v>12.357305785073486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0.9692532686122205</v>
      </c>
      <c r="AM129" s="399"/>
      <c r="AN129" s="399">
        <v>0.22158377137430557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1.8305585911624134</v>
      </c>
      <c r="BH129" s="399">
        <v>0</v>
      </c>
      <c r="BI129" s="399">
        <v>0</v>
      </c>
      <c r="BJ129" s="399">
        <v>0</v>
      </c>
      <c r="BK129" s="399">
        <v>0</v>
      </c>
      <c r="BL129" s="399">
        <v>0</v>
      </c>
      <c r="BM129" s="399"/>
      <c r="BN129" s="399"/>
      <c r="BO129" s="399"/>
      <c r="BP129" s="399"/>
      <c r="BQ129" s="399"/>
      <c r="BR129" s="399"/>
      <c r="BS129" s="399"/>
      <c r="BT129" s="399"/>
      <c r="BU129" s="399"/>
      <c r="BV129" s="399">
        <v>14.187864376235899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127.58</v>
      </c>
      <c r="CJ129" s="399">
        <v>-23.715799999999987</v>
      </c>
      <c r="CK129" s="399"/>
      <c r="CL129" s="399"/>
      <c r="CM129" s="399"/>
      <c r="CN129" s="399"/>
      <c r="CO129" s="399">
        <v>-19.858400000000017</v>
      </c>
      <c r="CP129" s="399">
        <v>0</v>
      </c>
      <c r="CQ129" s="399">
        <v>31</v>
      </c>
      <c r="CR129" s="399">
        <v>-0.84009346416375053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-0.12084758916955707</v>
      </c>
      <c r="DA129" s="399">
        <v>0</v>
      </c>
      <c r="DB129" s="399">
        <v>0</v>
      </c>
      <c r="DC129" s="399">
        <v>0</v>
      </c>
      <c r="DD129" s="399">
        <v>0</v>
      </c>
      <c r="DE129" s="399">
        <v>0</v>
      </c>
      <c r="DF129" s="399">
        <v>0</v>
      </c>
      <c r="DG129" s="399">
        <v>0</v>
      </c>
      <c r="DH129" s="399">
        <v>0</v>
      </c>
      <c r="DI129" s="399">
        <v>-0.61832498211247167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-8.2598120179744217E-2</v>
      </c>
      <c r="DP129" s="399">
        <v>-1.8322772701980877E-2</v>
      </c>
      <c r="DQ129" s="399">
        <v>0</v>
      </c>
      <c r="DR129" s="399">
        <v>0</v>
      </c>
      <c r="DS129" s="399"/>
      <c r="DT129" s="399"/>
      <c r="DU129" s="399"/>
      <c r="DV129" s="399">
        <v>107.02732130965248</v>
      </c>
      <c r="DW129" s="399">
        <v>0</v>
      </c>
      <c r="DX129" s="399">
        <v>0</v>
      </c>
      <c r="DY129" s="399">
        <v>-19.858400000000032</v>
      </c>
      <c r="DZ129" s="399">
        <v>0</v>
      </c>
      <c r="EA129" s="399">
        <v>0</v>
      </c>
      <c r="EB129" s="399">
        <v>0</v>
      </c>
      <c r="EC129" s="399">
        <v>-19.018109391797026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229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8" customFormat="1">
      <c r="A130" s="399">
        <v>128</v>
      </c>
      <c r="B130" s="399" t="s">
        <v>954</v>
      </c>
      <c r="C130" s="399" t="s">
        <v>2336</v>
      </c>
      <c r="D130" s="399" t="s">
        <v>1822</v>
      </c>
      <c r="E130" s="399" t="s">
        <v>916</v>
      </c>
      <c r="F130" s="399" t="s">
        <v>1237</v>
      </c>
      <c r="G130" s="399" t="s">
        <v>1237</v>
      </c>
      <c r="H130" s="399" t="s">
        <v>1237</v>
      </c>
      <c r="I130" s="399" t="s">
        <v>1237</v>
      </c>
      <c r="J130" s="399" t="s">
        <v>2337</v>
      </c>
      <c r="K130" s="788">
        <v>44562</v>
      </c>
      <c r="L130" s="399">
        <v>0</v>
      </c>
      <c r="M130" s="399">
        <v>0</v>
      </c>
      <c r="N130" s="399">
        <v>90.893000000000001</v>
      </c>
      <c r="O130" s="399">
        <v>90.893000000000001</v>
      </c>
      <c r="P130" s="399">
        <v>90.893000000000001</v>
      </c>
      <c r="Q130" s="399">
        <v>90.893000000000001</v>
      </c>
      <c r="R130" s="399"/>
      <c r="S130" s="399">
        <v>707.13</v>
      </c>
      <c r="T130" s="399">
        <v>119.97</v>
      </c>
      <c r="U130" s="399"/>
      <c r="V130" s="399">
        <v>75177.600300000006</v>
      </c>
      <c r="W130" s="399">
        <v>75177.600300000006</v>
      </c>
      <c r="X130" s="399">
        <v>66263.723789999989</v>
      </c>
      <c r="Y130" s="399">
        <v>0</v>
      </c>
      <c r="Z130" s="399">
        <v>5534.9182894942523</v>
      </c>
      <c r="AA130" s="399">
        <v>0</v>
      </c>
      <c r="AB130" s="399">
        <v>0</v>
      </c>
      <c r="AC130" s="399">
        <v>0</v>
      </c>
      <c r="AD130" s="399">
        <v>9774.5614874350031</v>
      </c>
      <c r="AE130" s="399">
        <v>46297.526492901408</v>
      </c>
      <c r="AF130" s="399">
        <v>10904.782473035772</v>
      </c>
      <c r="AG130" s="399">
        <v>0</v>
      </c>
      <c r="AH130" s="399">
        <v>0</v>
      </c>
      <c r="AI130" s="399">
        <v>0</v>
      </c>
      <c r="AJ130" s="399">
        <v>0</v>
      </c>
      <c r="AK130" s="399">
        <v>0</v>
      </c>
      <c r="AL130" s="399">
        <v>855.3236635336948</v>
      </c>
      <c r="AM130" s="399"/>
      <c r="AN130" s="399">
        <v>195.53799739344424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1615.3879808400511</v>
      </c>
      <c r="BH130" s="399">
        <v>0</v>
      </c>
      <c r="BI130" s="399">
        <v>0</v>
      </c>
      <c r="BJ130" s="399">
        <v>0</v>
      </c>
      <c r="BK130" s="399">
        <v>25065.31</v>
      </c>
      <c r="BL130" s="399">
        <v>267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>
        <v>12520.170453875822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66261.536699999997</v>
      </c>
      <c r="CJ130" s="399">
        <v>-8916.0936000000074</v>
      </c>
      <c r="CK130" s="399"/>
      <c r="CL130" s="399"/>
      <c r="CM130" s="399"/>
      <c r="CN130" s="399"/>
      <c r="CO130" s="399">
        <v>-8913.8765100000055</v>
      </c>
      <c r="CP130" s="399">
        <v>0</v>
      </c>
      <c r="CQ130" s="399">
        <v>31</v>
      </c>
      <c r="CR130" s="399">
        <v>-686.99872354976105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-52.295662230852031</v>
      </c>
      <c r="DA130" s="399">
        <v>0</v>
      </c>
      <c r="DB130" s="399">
        <v>0</v>
      </c>
      <c r="DC130" s="399">
        <v>0</v>
      </c>
      <c r="DD130" s="399">
        <v>0</v>
      </c>
      <c r="DE130" s="399">
        <v>0</v>
      </c>
      <c r="DF130" s="399">
        <v>0</v>
      </c>
      <c r="DG130" s="399">
        <v>0</v>
      </c>
      <c r="DH130" s="399">
        <v>0</v>
      </c>
      <c r="DI130" s="399">
        <v>-545.64478251600849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-72.889232402888297</v>
      </c>
      <c r="DP130" s="399">
        <v>-16.169046400011126</v>
      </c>
      <c r="DQ130" s="399">
        <v>0</v>
      </c>
      <c r="DR130" s="399">
        <v>0</v>
      </c>
      <c r="DS130" s="399"/>
      <c r="DT130" s="399"/>
      <c r="DU130" s="399"/>
      <c r="DV130" s="399">
        <v>46297.526492901408</v>
      </c>
      <c r="DW130" s="399">
        <v>0</v>
      </c>
      <c r="DX130" s="399">
        <v>0</v>
      </c>
      <c r="DY130" s="399">
        <v>-8913.8765100000091</v>
      </c>
      <c r="DZ130" s="399">
        <v>0</v>
      </c>
      <c r="EA130" s="399">
        <v>0</v>
      </c>
      <c r="EB130" s="399">
        <v>0</v>
      </c>
      <c r="EC130" s="399">
        <v>-8226.7911841329114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229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8" customFormat="1">
      <c r="A131" s="399">
        <v>129</v>
      </c>
      <c r="B131" s="399" t="s">
        <v>2339</v>
      </c>
      <c r="C131" s="399" t="s">
        <v>2336</v>
      </c>
      <c r="D131" s="399" t="s">
        <v>1822</v>
      </c>
      <c r="E131" s="399" t="s">
        <v>916</v>
      </c>
      <c r="F131" s="399" t="s">
        <v>1237</v>
      </c>
      <c r="G131" s="399" t="s">
        <v>1237</v>
      </c>
      <c r="H131" s="399" t="s">
        <v>1237</v>
      </c>
      <c r="I131" s="399" t="s">
        <v>1237</v>
      </c>
      <c r="J131" s="399" t="s">
        <v>2337</v>
      </c>
      <c r="K131" s="788">
        <v>44562</v>
      </c>
      <c r="L131" s="399">
        <v>0</v>
      </c>
      <c r="M131" s="399">
        <v>0</v>
      </c>
      <c r="N131" s="399">
        <v>15.837</v>
      </c>
      <c r="O131" s="399">
        <v>15.837</v>
      </c>
      <c r="P131" s="399">
        <v>15.837</v>
      </c>
      <c r="Q131" s="399">
        <v>15.837</v>
      </c>
      <c r="R131" s="399"/>
      <c r="S131" s="399">
        <v>707.13</v>
      </c>
      <c r="T131" s="399">
        <v>119.97</v>
      </c>
      <c r="U131" s="399"/>
      <c r="V131" s="399">
        <v>13098.7827</v>
      </c>
      <c r="W131" s="399">
        <v>13098.7827</v>
      </c>
      <c r="X131" s="399">
        <v>11545.648109999998</v>
      </c>
      <c r="Y131" s="399">
        <v>0</v>
      </c>
      <c r="Z131" s="399">
        <v>964.39220787871966</v>
      </c>
      <c r="AA131" s="399">
        <v>0</v>
      </c>
      <c r="AB131" s="399">
        <v>0</v>
      </c>
      <c r="AC131" s="399">
        <v>0</v>
      </c>
      <c r="AD131" s="399">
        <v>1703.0984814728101</v>
      </c>
      <c r="AE131" s="399">
        <v>8066.7810179890594</v>
      </c>
      <c r="AF131" s="399">
        <v>1900.0257448369787</v>
      </c>
      <c r="AG131" s="399">
        <v>0</v>
      </c>
      <c r="AH131" s="399">
        <v>0</v>
      </c>
      <c r="AI131" s="399">
        <v>0</v>
      </c>
      <c r="AJ131" s="399">
        <v>0</v>
      </c>
      <c r="AK131" s="399">
        <v>0</v>
      </c>
      <c r="AL131" s="399">
        <v>149.02974771856054</v>
      </c>
      <c r="AM131" s="399"/>
      <c r="AN131" s="399">
        <v>34.070118322862889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281.4617127013509</v>
      </c>
      <c r="BH131" s="399">
        <v>0</v>
      </c>
      <c r="BI131" s="399">
        <v>0</v>
      </c>
      <c r="BJ131" s="399">
        <v>0</v>
      </c>
      <c r="BK131" s="399">
        <v>6707.41</v>
      </c>
      <c r="BL131" s="399">
        <v>8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2181.4874575383296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11547.8352</v>
      </c>
      <c r="CJ131" s="399">
        <v>-1550.9775000000009</v>
      </c>
      <c r="CK131" s="399"/>
      <c r="CL131" s="399"/>
      <c r="CM131" s="399"/>
      <c r="CN131" s="399"/>
      <c r="CO131" s="399">
        <v>-1553.1345900000008</v>
      </c>
      <c r="CP131" s="399">
        <v>0</v>
      </c>
      <c r="CQ131" s="399">
        <v>31</v>
      </c>
      <c r="CR131" s="399">
        <v>-119.7011737411849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-9.111883233582148</v>
      </c>
      <c r="DA131" s="399">
        <v>0</v>
      </c>
      <c r="DB131" s="399">
        <v>0</v>
      </c>
      <c r="DC131" s="399">
        <v>0</v>
      </c>
      <c r="DD131" s="399">
        <v>0</v>
      </c>
      <c r="DE131" s="399">
        <v>0</v>
      </c>
      <c r="DF131" s="399">
        <v>0</v>
      </c>
      <c r="DG131" s="399">
        <v>0</v>
      </c>
      <c r="DH131" s="399">
        <v>0</v>
      </c>
      <c r="DI131" s="399">
        <v>-95.071968366167084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-12.700062420258348</v>
      </c>
      <c r="DP131" s="399">
        <v>-2.8172597211773898</v>
      </c>
      <c r="DQ131" s="399">
        <v>0</v>
      </c>
      <c r="DR131" s="399">
        <v>0</v>
      </c>
      <c r="DS131" s="399"/>
      <c r="DT131" s="399"/>
      <c r="DU131" s="399"/>
      <c r="DV131" s="399">
        <v>8066.7810179890594</v>
      </c>
      <c r="DW131" s="399">
        <v>0</v>
      </c>
      <c r="DX131" s="399">
        <v>0</v>
      </c>
      <c r="DY131" s="399">
        <v>-1553.1345900000015</v>
      </c>
      <c r="DZ131" s="399">
        <v>0</v>
      </c>
      <c r="EA131" s="399">
        <v>0</v>
      </c>
      <c r="EB131" s="399">
        <v>0</v>
      </c>
      <c r="EC131" s="399">
        <v>-1433.4183268580955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229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8" customFormat="1">
      <c r="A132" s="399">
        <v>130</v>
      </c>
      <c r="B132" s="399" t="s">
        <v>954</v>
      </c>
      <c r="C132" s="399" t="s">
        <v>2336</v>
      </c>
      <c r="D132" s="399" t="s">
        <v>2347</v>
      </c>
      <c r="E132" s="399" t="s">
        <v>892</v>
      </c>
      <c r="F132" s="399" t="s">
        <v>1237</v>
      </c>
      <c r="G132" s="399" t="s">
        <v>1237</v>
      </c>
      <c r="H132" s="399" t="s">
        <v>1237</v>
      </c>
      <c r="I132" s="399" t="s">
        <v>1237</v>
      </c>
      <c r="J132" s="399" t="s">
        <v>2337</v>
      </c>
      <c r="K132" s="788">
        <v>44562</v>
      </c>
      <c r="L132" s="399">
        <v>0</v>
      </c>
      <c r="M132" s="399">
        <v>0</v>
      </c>
      <c r="N132" s="399">
        <v>293.61200000000002</v>
      </c>
      <c r="O132" s="399">
        <v>293.61200000000002</v>
      </c>
      <c r="P132" s="399">
        <v>293.61200000000002</v>
      </c>
      <c r="Q132" s="399">
        <v>293.61200000000002</v>
      </c>
      <c r="R132" s="399"/>
      <c r="S132" s="399">
        <v>707.13</v>
      </c>
      <c r="T132" s="399">
        <v>119.97</v>
      </c>
      <c r="U132" s="399"/>
      <c r="V132" s="399">
        <v>242846.48520000002</v>
      </c>
      <c r="W132" s="399">
        <v>242846.48520000002</v>
      </c>
      <c r="X132" s="399">
        <v>214051.95636000001</v>
      </c>
      <c r="Y132" s="399">
        <v>0</v>
      </c>
      <c r="Z132" s="399">
        <v>17879.467382691586</v>
      </c>
      <c r="AA132" s="399">
        <v>0</v>
      </c>
      <c r="AB132" s="399">
        <v>0</v>
      </c>
      <c r="AC132" s="399">
        <v>0</v>
      </c>
      <c r="AD132" s="399">
        <v>31574.802762025309</v>
      </c>
      <c r="AE132" s="399">
        <v>149555.07408308418</v>
      </c>
      <c r="AF132" s="399">
        <v>35225.759865699001</v>
      </c>
      <c r="AG132" s="399">
        <v>0</v>
      </c>
      <c r="AH132" s="399">
        <v>0</v>
      </c>
      <c r="AI132" s="399">
        <v>0</v>
      </c>
      <c r="AJ132" s="399">
        <v>0</v>
      </c>
      <c r="AK132" s="399">
        <v>0</v>
      </c>
      <c r="AL132" s="399">
        <v>2762.955249551178</v>
      </c>
      <c r="AM132" s="399"/>
      <c r="AN132" s="399">
        <v>631.64712893934575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5218.1938744502777</v>
      </c>
      <c r="BH132" s="399">
        <v>0</v>
      </c>
      <c r="BI132" s="399">
        <v>0</v>
      </c>
      <c r="BJ132" s="399">
        <v>0</v>
      </c>
      <c r="BK132" s="399">
        <v>49250.15</v>
      </c>
      <c r="BL132" s="399">
        <v>708</v>
      </c>
      <c r="BM132" s="399"/>
      <c r="BN132" s="399"/>
      <c r="BO132" s="399"/>
      <c r="BP132" s="399"/>
      <c r="BQ132" s="399"/>
      <c r="BR132" s="399">
        <v>25685.177759999977</v>
      </c>
      <c r="BS132" s="399"/>
      <c r="BT132" s="399"/>
      <c r="BU132" s="399"/>
      <c r="BV132" s="399">
        <v>40443.953740149278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188365.49550000002</v>
      </c>
      <c r="CJ132" s="399">
        <v>-25342.964820000023</v>
      </c>
      <c r="CK132" s="399"/>
      <c r="CL132" s="399"/>
      <c r="CM132" s="399"/>
      <c r="CN132" s="399"/>
      <c r="CO132" s="399">
        <v>-28794.528840000017</v>
      </c>
      <c r="CP132" s="399">
        <v>0</v>
      </c>
      <c r="CQ132" s="399">
        <v>31</v>
      </c>
      <c r="CR132" s="399">
        <v>-2219.2145623853576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-168.93087453296539</v>
      </c>
      <c r="DA132" s="399">
        <v>0</v>
      </c>
      <c r="DB132" s="399">
        <v>0</v>
      </c>
      <c r="DC132" s="399">
        <v>0</v>
      </c>
      <c r="DD132" s="399">
        <v>0</v>
      </c>
      <c r="DE132" s="399">
        <v>0</v>
      </c>
      <c r="DF132" s="399">
        <v>0</v>
      </c>
      <c r="DG132" s="399">
        <v>0</v>
      </c>
      <c r="DH132" s="399">
        <v>0</v>
      </c>
      <c r="DI132" s="399">
        <v>-1762.5983946408433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-235.45436176907833</v>
      </c>
      <c r="DP132" s="399">
        <v>-52.230931442466044</v>
      </c>
      <c r="DQ132" s="399">
        <v>0</v>
      </c>
      <c r="DR132" s="399">
        <v>0</v>
      </c>
      <c r="DS132" s="399"/>
      <c r="DT132" s="399"/>
      <c r="DU132" s="399"/>
      <c r="DV132" s="399">
        <v>149555.07408308418</v>
      </c>
      <c r="DW132" s="399">
        <v>0</v>
      </c>
      <c r="DX132" s="399">
        <v>0</v>
      </c>
      <c r="DY132" s="399">
        <v>-28794.528840000014</v>
      </c>
      <c r="DZ132" s="399">
        <v>0</v>
      </c>
      <c r="EA132" s="399">
        <v>0</v>
      </c>
      <c r="EB132" s="399">
        <v>0</v>
      </c>
      <c r="EC132" s="399">
        <v>-26575.034525823052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229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2339</v>
      </c>
      <c r="C133" s="399" t="s">
        <v>2336</v>
      </c>
      <c r="D133" s="399" t="s">
        <v>2347</v>
      </c>
      <c r="E133" s="399" t="s">
        <v>892</v>
      </c>
      <c r="F133" s="399" t="s">
        <v>1237</v>
      </c>
      <c r="G133" s="399" t="s">
        <v>1237</v>
      </c>
      <c r="H133" s="399" t="s">
        <v>1237</v>
      </c>
      <c r="I133" s="399" t="s">
        <v>1237</v>
      </c>
      <c r="J133" s="399" t="s">
        <v>2337</v>
      </c>
      <c r="K133" s="788">
        <v>44562</v>
      </c>
      <c r="L133" s="399">
        <v>0</v>
      </c>
      <c r="M133" s="399">
        <v>0</v>
      </c>
      <c r="N133" s="399">
        <v>22.734999999999999</v>
      </c>
      <c r="O133" s="399">
        <v>22.734999999999999</v>
      </c>
      <c r="P133" s="399">
        <v>22.734999999999999</v>
      </c>
      <c r="Q133" s="399">
        <v>22.734999999999999</v>
      </c>
      <c r="R133" s="399"/>
      <c r="S133" s="399">
        <v>707.13</v>
      </c>
      <c r="T133" s="399">
        <v>119.97</v>
      </c>
      <c r="U133" s="399"/>
      <c r="V133" s="399">
        <v>18804.1185</v>
      </c>
      <c r="W133" s="399">
        <v>18804.1185</v>
      </c>
      <c r="X133" s="399">
        <v>16574.497049999998</v>
      </c>
      <c r="Y133" s="399">
        <v>0</v>
      </c>
      <c r="Z133" s="399">
        <v>1384.4450872086059</v>
      </c>
      <c r="AA133" s="399">
        <v>0</v>
      </c>
      <c r="AB133" s="399">
        <v>0</v>
      </c>
      <c r="AC133" s="399">
        <v>0</v>
      </c>
      <c r="AD133" s="399">
        <v>2444.9039575856755</v>
      </c>
      <c r="AE133" s="399">
        <v>11580.366637872152</v>
      </c>
      <c r="AF133" s="399">
        <v>2727.6053109091818</v>
      </c>
      <c r="AG133" s="399">
        <v>0</v>
      </c>
      <c r="AH133" s="399">
        <v>0</v>
      </c>
      <c r="AI133" s="399">
        <v>0</v>
      </c>
      <c r="AJ133" s="399">
        <v>0</v>
      </c>
      <c r="AK133" s="399">
        <v>0</v>
      </c>
      <c r="AL133" s="399">
        <v>213.94148603785277</v>
      </c>
      <c r="AM133" s="399"/>
      <c r="AN133" s="399">
        <v>48.909777108687742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404.05582106871333</v>
      </c>
      <c r="BH133" s="399">
        <v>0</v>
      </c>
      <c r="BI133" s="399">
        <v>0</v>
      </c>
      <c r="BJ133" s="399">
        <v>0</v>
      </c>
      <c r="BK133" s="399">
        <v>8246.26</v>
      </c>
      <c r="BL133" s="399">
        <v>13</v>
      </c>
      <c r="BM133" s="399"/>
      <c r="BN133" s="399"/>
      <c r="BO133" s="399"/>
      <c r="BP133" s="399"/>
      <c r="BQ133" s="399"/>
      <c r="BR133" s="399">
        <v>1988.857799999998</v>
      </c>
      <c r="BS133" s="399"/>
      <c r="BT133" s="399"/>
      <c r="BU133" s="399"/>
      <c r="BV133" s="399">
        <v>3131.6611319778949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14588.847</v>
      </c>
      <c r="CJ133" s="399">
        <v>-1959.0800999999974</v>
      </c>
      <c r="CK133" s="399"/>
      <c r="CL133" s="399"/>
      <c r="CM133" s="399"/>
      <c r="CN133" s="399"/>
      <c r="CO133" s="399">
        <v>-2229.621450000001</v>
      </c>
      <c r="CP133" s="399">
        <v>0</v>
      </c>
      <c r="CQ133" s="399">
        <v>31</v>
      </c>
      <c r="CR133" s="399">
        <v>-171.8384911918838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-13.080675968648848</v>
      </c>
      <c r="DA133" s="399">
        <v>0</v>
      </c>
      <c r="DB133" s="399">
        <v>0</v>
      </c>
      <c r="DC133" s="399">
        <v>0</v>
      </c>
      <c r="DD133" s="399">
        <v>0</v>
      </c>
      <c r="DE133" s="399">
        <v>0</v>
      </c>
      <c r="DF133" s="399">
        <v>0</v>
      </c>
      <c r="DG133" s="399">
        <v>0</v>
      </c>
      <c r="DH133" s="399">
        <v>0</v>
      </c>
      <c r="DI133" s="399">
        <v>-136.48173270220423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-18.231730701810534</v>
      </c>
      <c r="DP133" s="399">
        <v>-4.0443518192187895</v>
      </c>
      <c r="DQ133" s="399">
        <v>0</v>
      </c>
      <c r="DR133" s="399">
        <v>0</v>
      </c>
      <c r="DS133" s="399"/>
      <c r="DT133" s="399"/>
      <c r="DU133" s="399"/>
      <c r="DV133" s="399">
        <v>11580.366637872152</v>
      </c>
      <c r="DW133" s="399">
        <v>0</v>
      </c>
      <c r="DX133" s="399">
        <v>0</v>
      </c>
      <c r="DY133" s="399">
        <v>-2229.6214500000006</v>
      </c>
      <c r="DZ133" s="399">
        <v>0</v>
      </c>
      <c r="EA133" s="399">
        <v>0</v>
      </c>
      <c r="EB133" s="399">
        <v>0</v>
      </c>
      <c r="EC133" s="399">
        <v>-2057.761297033454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229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954</v>
      </c>
      <c r="C134" s="399" t="s">
        <v>2336</v>
      </c>
      <c r="D134" s="399" t="s">
        <v>1822</v>
      </c>
      <c r="E134" s="399" t="s">
        <v>2348</v>
      </c>
      <c r="F134" s="399" t="s">
        <v>1237</v>
      </c>
      <c r="G134" s="399" t="s">
        <v>1237</v>
      </c>
      <c r="H134" s="399" t="s">
        <v>1237</v>
      </c>
      <c r="I134" s="399" t="s">
        <v>1237</v>
      </c>
      <c r="J134" s="399" t="s">
        <v>2337</v>
      </c>
      <c r="K134" s="788">
        <v>44562</v>
      </c>
      <c r="L134" s="399">
        <v>0</v>
      </c>
      <c r="M134" s="399">
        <v>0</v>
      </c>
      <c r="N134" s="399">
        <v>111.35599999999999</v>
      </c>
      <c r="O134" s="399">
        <v>111.35599999999999</v>
      </c>
      <c r="P134" s="399">
        <v>111.35599999999999</v>
      </c>
      <c r="Q134" s="399">
        <v>111.35599999999999</v>
      </c>
      <c r="R134" s="399"/>
      <c r="S134" s="399">
        <v>707.13</v>
      </c>
      <c r="T134" s="399">
        <v>119.97</v>
      </c>
      <c r="U134" s="399"/>
      <c r="V134" s="399">
        <v>92102.547599999991</v>
      </c>
      <c r="W134" s="399">
        <v>92102.547599999991</v>
      </c>
      <c r="X134" s="399">
        <v>81181.864679999999</v>
      </c>
      <c r="Y134" s="399">
        <v>0</v>
      </c>
      <c r="Z134" s="399">
        <v>6781.0102103013642</v>
      </c>
      <c r="AA134" s="399">
        <v>0</v>
      </c>
      <c r="AB134" s="399">
        <v>0</v>
      </c>
      <c r="AC134" s="399">
        <v>0</v>
      </c>
      <c r="AD134" s="399">
        <v>11975.136358078313</v>
      </c>
      <c r="AE134" s="399">
        <v>56720.620511409339</v>
      </c>
      <c r="AF134" s="399">
        <v>13359.807213617894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1047.8851163066256</v>
      </c>
      <c r="AM134" s="399"/>
      <c r="AN134" s="399">
        <v>239.56002373939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1979.0648784221526</v>
      </c>
      <c r="BH134" s="399">
        <v>0</v>
      </c>
      <c r="BI134" s="399">
        <v>0</v>
      </c>
      <c r="BJ134" s="399">
        <v>0</v>
      </c>
      <c r="BK134" s="399">
        <v>32093.56</v>
      </c>
      <c r="BL134" s="399">
        <v>81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>
        <v>15338.872092040046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81184.780799999979</v>
      </c>
      <c r="CJ134" s="399">
        <v>-10917.796799999996</v>
      </c>
      <c r="CK134" s="399"/>
      <c r="CL134" s="399"/>
      <c r="CM134" s="399"/>
      <c r="CN134" s="399"/>
      <c r="CO134" s="399">
        <v>-10920.682920000005</v>
      </c>
      <c r="CP134" s="399">
        <v>0</v>
      </c>
      <c r="CQ134" s="399">
        <v>31</v>
      </c>
      <c r="CR134" s="399">
        <v>-841.66470310812292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-64.069133633818637</v>
      </c>
      <c r="DA134" s="399">
        <v>0</v>
      </c>
      <c r="DB134" s="399">
        <v>0</v>
      </c>
      <c r="DC134" s="399">
        <v>0</v>
      </c>
      <c r="DD134" s="399">
        <v>0</v>
      </c>
      <c r="DE134" s="399">
        <v>0</v>
      </c>
      <c r="DF134" s="399">
        <v>0</v>
      </c>
      <c r="DG134" s="399">
        <v>0</v>
      </c>
      <c r="DH134" s="399">
        <v>0</v>
      </c>
      <c r="DI134" s="399">
        <v>-668.48734668074121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-89.298992919763236</v>
      </c>
      <c r="DP134" s="399">
        <v>-19.809229873803702</v>
      </c>
      <c r="DQ134" s="399">
        <v>0</v>
      </c>
      <c r="DR134" s="399">
        <v>0</v>
      </c>
      <c r="DS134" s="399"/>
      <c r="DT134" s="399"/>
      <c r="DU134" s="399"/>
      <c r="DV134" s="399">
        <v>56720.620511409339</v>
      </c>
      <c r="DW134" s="399">
        <v>0</v>
      </c>
      <c r="DX134" s="399">
        <v>0</v>
      </c>
      <c r="DY134" s="399">
        <v>-10920.682920000007</v>
      </c>
      <c r="DZ134" s="399">
        <v>0</v>
      </c>
      <c r="EA134" s="399">
        <v>0</v>
      </c>
      <c r="EB134" s="399">
        <v>0</v>
      </c>
      <c r="EC134" s="399">
        <v>-10078.912117548156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229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2338</v>
      </c>
      <c r="C135" s="399" t="s">
        <v>2336</v>
      </c>
      <c r="D135" s="399" t="s">
        <v>1822</v>
      </c>
      <c r="E135" s="399" t="s">
        <v>2348</v>
      </c>
      <c r="F135" s="399" t="s">
        <v>1237</v>
      </c>
      <c r="G135" s="399" t="s">
        <v>1237</v>
      </c>
      <c r="H135" s="399" t="s">
        <v>1237</v>
      </c>
      <c r="I135" s="399" t="s">
        <v>1237</v>
      </c>
      <c r="J135" s="399" t="s">
        <v>2337</v>
      </c>
      <c r="K135" s="788">
        <v>44562</v>
      </c>
      <c r="L135" s="399">
        <v>0</v>
      </c>
      <c r="M135" s="399">
        <v>0</v>
      </c>
      <c r="N135" s="399">
        <v>-87.14</v>
      </c>
      <c r="O135" s="399">
        <v>-87.14</v>
      </c>
      <c r="P135" s="399">
        <v>-87.14</v>
      </c>
      <c r="Q135" s="399">
        <v>-87.14</v>
      </c>
      <c r="R135" s="399"/>
      <c r="S135" s="399">
        <v>707.13</v>
      </c>
      <c r="T135" s="399">
        <v>119.97</v>
      </c>
      <c r="U135" s="399"/>
      <c r="V135" s="399">
        <v>-72073.494000000006</v>
      </c>
      <c r="W135" s="399">
        <v>-72073.494000000006</v>
      </c>
      <c r="X135" s="399">
        <v>-63527.674199999994</v>
      </c>
      <c r="Y135" s="399">
        <v>0</v>
      </c>
      <c r="Z135" s="399">
        <v>-5306.3798064375596</v>
      </c>
      <c r="AA135" s="399">
        <v>0</v>
      </c>
      <c r="AB135" s="399">
        <v>0</v>
      </c>
      <c r="AC135" s="399">
        <v>0</v>
      </c>
      <c r="AD135" s="399">
        <v>-9370.9668292947335</v>
      </c>
      <c r="AE135" s="399">
        <v>-44385.887346566058</v>
      </c>
      <c r="AF135" s="399">
        <v>-10454.520641857316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-820.00708569775634</v>
      </c>
      <c r="AM135" s="399"/>
      <c r="AN135" s="399">
        <v>-187.46417318016492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-1548.6881129504147</v>
      </c>
      <c r="BH135" s="399">
        <v>0</v>
      </c>
      <c r="BI135" s="399">
        <v>0</v>
      </c>
      <c r="BJ135" s="399">
        <v>0</v>
      </c>
      <c r="BK135" s="399">
        <v>-25300.51</v>
      </c>
      <c r="BL135" s="399">
        <v>0</v>
      </c>
      <c r="BM135" s="399"/>
      <c r="BN135" s="399"/>
      <c r="BO135" s="399"/>
      <c r="BP135" s="399"/>
      <c r="BQ135" s="399"/>
      <c r="BR135" s="399"/>
      <c r="BS135" s="399"/>
      <c r="BT135" s="399"/>
      <c r="BU135" s="399"/>
      <c r="BV135" s="399">
        <v>-12003.208754807731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-63527.674199999994</v>
      </c>
      <c r="CJ135" s="399">
        <v>8545.7897999999986</v>
      </c>
      <c r="CK135" s="399"/>
      <c r="CL135" s="399"/>
      <c r="CM135" s="399"/>
      <c r="CN135" s="399"/>
      <c r="CO135" s="399">
        <v>8545.8198000000048</v>
      </c>
      <c r="CP135" s="399">
        <v>0</v>
      </c>
      <c r="CQ135" s="399">
        <v>31</v>
      </c>
      <c r="CR135" s="399">
        <v>658.63233439456963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50.136358210163962</v>
      </c>
      <c r="DA135" s="399">
        <v>0</v>
      </c>
      <c r="DB135" s="399">
        <v>0</v>
      </c>
      <c r="DC135" s="399">
        <v>0</v>
      </c>
      <c r="DD135" s="399">
        <v>0</v>
      </c>
      <c r="DE135" s="399">
        <v>0</v>
      </c>
      <c r="DF135" s="399">
        <v>0</v>
      </c>
      <c r="DG135" s="399">
        <v>0</v>
      </c>
      <c r="DH135" s="399">
        <v>0</v>
      </c>
      <c r="DI135" s="399">
        <v>523.11494117748316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69.879613519057443</v>
      </c>
      <c r="DP135" s="399">
        <v>15.501421487870005</v>
      </c>
      <c r="DQ135" s="399">
        <v>0</v>
      </c>
      <c r="DR135" s="399">
        <v>0</v>
      </c>
      <c r="DS135" s="399"/>
      <c r="DT135" s="399"/>
      <c r="DU135" s="399"/>
      <c r="DV135" s="399">
        <v>-44385.887346566058</v>
      </c>
      <c r="DW135" s="399">
        <v>0</v>
      </c>
      <c r="DX135" s="399">
        <v>0</v>
      </c>
      <c r="DY135" s="399">
        <v>8545.8198000000048</v>
      </c>
      <c r="DZ135" s="399">
        <v>0</v>
      </c>
      <c r="EA135" s="399">
        <v>0</v>
      </c>
      <c r="EB135" s="399">
        <v>0</v>
      </c>
      <c r="EC135" s="399">
        <v>7887.1044391244868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229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954</v>
      </c>
      <c r="C136" s="399" t="s">
        <v>2336</v>
      </c>
      <c r="D136" s="399" t="s">
        <v>2349</v>
      </c>
      <c r="E136" s="399" t="s">
        <v>2350</v>
      </c>
      <c r="F136" s="399" t="s">
        <v>2351</v>
      </c>
      <c r="G136" s="399" t="s">
        <v>1237</v>
      </c>
      <c r="H136" s="399" t="s">
        <v>1237</v>
      </c>
      <c r="I136" s="399" t="s">
        <v>1237</v>
      </c>
      <c r="J136" s="399" t="s">
        <v>2337</v>
      </c>
      <c r="K136" s="788">
        <v>44562</v>
      </c>
      <c r="L136" s="399">
        <v>0</v>
      </c>
      <c r="M136" s="399">
        <v>0</v>
      </c>
      <c r="N136" s="399">
        <v>84.697999999999993</v>
      </c>
      <c r="O136" s="399">
        <v>84.697999999999993</v>
      </c>
      <c r="P136" s="399">
        <v>84.697999999999993</v>
      </c>
      <c r="Q136" s="399">
        <v>84.697999999999993</v>
      </c>
      <c r="R136" s="399"/>
      <c r="S136" s="399">
        <v>388.92</v>
      </c>
      <c r="T136" s="399">
        <v>65.989999999999995</v>
      </c>
      <c r="U136" s="399"/>
      <c r="V136" s="399">
        <v>38529.967179999992</v>
      </c>
      <c r="W136" s="399">
        <v>38529.967179999992</v>
      </c>
      <c r="X136" s="399">
        <v>33961.357059999995</v>
      </c>
      <c r="Y136" s="399">
        <v>0</v>
      </c>
      <c r="Z136" s="399">
        <v>2836.7209807792856</v>
      </c>
      <c r="AA136" s="399">
        <v>0</v>
      </c>
      <c r="AB136" s="399">
        <v>0</v>
      </c>
      <c r="AC136" s="399">
        <v>0</v>
      </c>
      <c r="AD136" s="399">
        <v>5009.5958420838015</v>
      </c>
      <c r="AE136" s="399">
        <v>23728.112664260949</v>
      </c>
      <c r="AF136" s="399">
        <v>5588.8494850610123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438.36502271558072</v>
      </c>
      <c r="AM136" s="399"/>
      <c r="AN136" s="399">
        <v>100.21588589634499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827.90833354223957</v>
      </c>
      <c r="BH136" s="399">
        <v>0</v>
      </c>
      <c r="BI136" s="399">
        <v>0</v>
      </c>
      <c r="BJ136" s="399">
        <v>0</v>
      </c>
      <c r="BK136" s="399">
        <v>15329.48</v>
      </c>
      <c r="BL136" s="399">
        <v>2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>
        <v>6416.7578186032515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33962.159000000007</v>
      </c>
      <c r="CJ136" s="399">
        <v>-4567.8381799999916</v>
      </c>
      <c r="CK136" s="399"/>
      <c r="CL136" s="399"/>
      <c r="CM136" s="399"/>
      <c r="CN136" s="399"/>
      <c r="CO136" s="399">
        <v>-4568.6101199999994</v>
      </c>
      <c r="CP136" s="399">
        <v>0</v>
      </c>
      <c r="CQ136" s="399">
        <v>31</v>
      </c>
      <c r="CR136" s="399">
        <v>-352.09619924494655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-26.802238894049879</v>
      </c>
      <c r="DA136" s="399">
        <v>0</v>
      </c>
      <c r="DB136" s="399">
        <v>0</v>
      </c>
      <c r="DC136" s="399">
        <v>0</v>
      </c>
      <c r="DD136" s="399">
        <v>0</v>
      </c>
      <c r="DE136" s="399">
        <v>0</v>
      </c>
      <c r="DF136" s="399">
        <v>0</v>
      </c>
      <c r="DG136" s="399">
        <v>0</v>
      </c>
      <c r="DH136" s="399">
        <v>0</v>
      </c>
      <c r="DI136" s="399">
        <v>-279.65037994397471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-37.35672398680714</v>
      </c>
      <c r="DP136" s="399">
        <v>-8.2868564201149866</v>
      </c>
      <c r="DQ136" s="399">
        <v>0</v>
      </c>
      <c r="DR136" s="399">
        <v>0</v>
      </c>
      <c r="DS136" s="399"/>
      <c r="DT136" s="399"/>
      <c r="DU136" s="399"/>
      <c r="DV136" s="399">
        <v>23728.112664260949</v>
      </c>
      <c r="DW136" s="399">
        <v>0</v>
      </c>
      <c r="DX136" s="399">
        <v>0</v>
      </c>
      <c r="DY136" s="399">
        <v>-4568.6101199999976</v>
      </c>
      <c r="DZ136" s="399">
        <v>0</v>
      </c>
      <c r="EA136" s="399">
        <v>0</v>
      </c>
      <c r="EB136" s="399">
        <v>0</v>
      </c>
      <c r="EC136" s="399">
        <v>-4216.3424888883237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229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954</v>
      </c>
      <c r="C137" s="399" t="s">
        <v>2336</v>
      </c>
      <c r="D137" s="399" t="s">
        <v>1822</v>
      </c>
      <c r="E137" s="399" t="s">
        <v>919</v>
      </c>
      <c r="F137" s="399" t="s">
        <v>2352</v>
      </c>
      <c r="G137" s="399" t="s">
        <v>1237</v>
      </c>
      <c r="H137" s="399" t="s">
        <v>1237</v>
      </c>
      <c r="I137" s="399" t="s">
        <v>1237</v>
      </c>
      <c r="J137" s="399" t="s">
        <v>2337</v>
      </c>
      <c r="K137" s="788">
        <v>44562</v>
      </c>
      <c r="L137" s="399">
        <v>0</v>
      </c>
      <c r="M137" s="399">
        <v>0</v>
      </c>
      <c r="N137" s="399">
        <v>4.9820000000000002</v>
      </c>
      <c r="O137" s="399">
        <v>4.6830800000000004</v>
      </c>
      <c r="P137" s="399">
        <v>4.9820000000000002</v>
      </c>
      <c r="Q137" s="399">
        <v>4.6830800000000004</v>
      </c>
      <c r="R137" s="399"/>
      <c r="S137" s="399">
        <v>707.13</v>
      </c>
      <c r="T137" s="399">
        <v>119.97</v>
      </c>
      <c r="U137" s="399"/>
      <c r="V137" s="399">
        <v>4120.6121999999996</v>
      </c>
      <c r="W137" s="399">
        <v>4120.6121999999996</v>
      </c>
      <c r="X137" s="399">
        <v>3632.0274599999998</v>
      </c>
      <c r="Y137" s="399">
        <v>0</v>
      </c>
      <c r="Z137" s="399">
        <v>303.3782900582043</v>
      </c>
      <c r="AA137" s="399">
        <v>0</v>
      </c>
      <c r="AB137" s="399">
        <v>0</v>
      </c>
      <c r="AC137" s="399">
        <v>0</v>
      </c>
      <c r="AD137" s="399">
        <v>535.7603482160473</v>
      </c>
      <c r="AE137" s="399">
        <v>2537.646210243196</v>
      </c>
      <c r="AF137" s="399">
        <v>597.70968370132152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46.88174547792314</v>
      </c>
      <c r="AM137" s="399"/>
      <c r="AN137" s="399">
        <v>10.717770378512528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88.542164089040241</v>
      </c>
      <c r="BH137" s="399">
        <v>0</v>
      </c>
      <c r="BI137" s="399">
        <v>0</v>
      </c>
      <c r="BJ137" s="399">
        <v>0</v>
      </c>
      <c r="BK137" s="399">
        <v>1373.79</v>
      </c>
      <c r="BL137" s="399">
        <v>7</v>
      </c>
      <c r="BM137" s="399"/>
      <c r="BN137" s="399"/>
      <c r="BO137" s="399"/>
      <c r="BP137" s="399"/>
      <c r="BQ137" s="399">
        <v>217.92164759999989</v>
      </c>
      <c r="BR137" s="399"/>
      <c r="BS137" s="399"/>
      <c r="BT137" s="399"/>
      <c r="BU137" s="399"/>
      <c r="BV137" s="399">
        <v>686.25184779036181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3411.8603999999996</v>
      </c>
      <c r="CJ137" s="399">
        <v>-461.54506800000127</v>
      </c>
      <c r="CK137" s="399"/>
      <c r="CL137" s="399"/>
      <c r="CM137" s="399"/>
      <c r="CN137" s="399"/>
      <c r="CO137" s="399">
        <v>-488.58474000000029</v>
      </c>
      <c r="CP137" s="399">
        <v>0</v>
      </c>
      <c r="CQ137" s="399">
        <v>31</v>
      </c>
      <c r="CR137" s="399">
        <v>-37.655569083701948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-2.8664142368950252</v>
      </c>
      <c r="DA137" s="399">
        <v>0</v>
      </c>
      <c r="DB137" s="399">
        <v>0</v>
      </c>
      <c r="DC137" s="399">
        <v>0</v>
      </c>
      <c r="DD137" s="399">
        <v>0</v>
      </c>
      <c r="DE137" s="399">
        <v>0</v>
      </c>
      <c r="DF137" s="399">
        <v>0</v>
      </c>
      <c r="DG137" s="399">
        <v>0</v>
      </c>
      <c r="DH137" s="399">
        <v>0</v>
      </c>
      <c r="DI137" s="399">
        <v>-29.907719037711956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-3.9951828615095764</v>
      </c>
      <c r="DP137" s="399">
        <v>-0.88625294758513284</v>
      </c>
      <c r="DQ137" s="399">
        <v>0</v>
      </c>
      <c r="DR137" s="399">
        <v>0</v>
      </c>
      <c r="DS137" s="399"/>
      <c r="DT137" s="399"/>
      <c r="DU137" s="399"/>
      <c r="DV137" s="399">
        <v>2537.646210243196</v>
      </c>
      <c r="DW137" s="399">
        <v>0</v>
      </c>
      <c r="DX137" s="399">
        <v>0</v>
      </c>
      <c r="DY137" s="399">
        <v>-488.58474000000024</v>
      </c>
      <c r="DZ137" s="399">
        <v>0</v>
      </c>
      <c r="EA137" s="399">
        <v>0</v>
      </c>
      <c r="EB137" s="399">
        <v>0</v>
      </c>
      <c r="EC137" s="399">
        <v>-450.92442409591695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229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954</v>
      </c>
      <c r="C138" s="399" t="s">
        <v>2344</v>
      </c>
      <c r="D138" s="399" t="s">
        <v>533</v>
      </c>
      <c r="E138" s="399" t="s">
        <v>919</v>
      </c>
      <c r="F138" s="399" t="s">
        <v>2352</v>
      </c>
      <c r="G138" s="399" t="s">
        <v>1237</v>
      </c>
      <c r="H138" s="399" t="s">
        <v>1237</v>
      </c>
      <c r="I138" s="399" t="s">
        <v>891</v>
      </c>
      <c r="J138" s="399" t="s">
        <v>2337</v>
      </c>
      <c r="K138" s="788">
        <v>44562</v>
      </c>
      <c r="L138" s="399">
        <v>0</v>
      </c>
      <c r="M138" s="399">
        <v>0</v>
      </c>
      <c r="N138" s="399">
        <v>5.6879999999999997</v>
      </c>
      <c r="O138" s="399">
        <v>5.3467200000000004</v>
      </c>
      <c r="P138" s="399">
        <v>5.6879999999999997</v>
      </c>
      <c r="Q138" s="399">
        <v>5.3467200000000004</v>
      </c>
      <c r="R138" s="399"/>
      <c r="S138" s="399">
        <v>3312.96</v>
      </c>
      <c r="T138" s="399">
        <v>119.97</v>
      </c>
      <c r="U138" s="399"/>
      <c r="V138" s="399">
        <v>19526.505840000002</v>
      </c>
      <c r="W138" s="399">
        <v>19526.505840000002</v>
      </c>
      <c r="X138" s="399">
        <v>16949.15928</v>
      </c>
      <c r="Y138" s="399">
        <v>0</v>
      </c>
      <c r="Z138" s="399">
        <v>301.34196528511171</v>
      </c>
      <c r="AA138" s="399">
        <v>0</v>
      </c>
      <c r="AB138" s="399">
        <v>0</v>
      </c>
      <c r="AC138" s="399">
        <v>0</v>
      </c>
      <c r="AD138" s="399">
        <v>4252.57065754214</v>
      </c>
      <c r="AE138" s="399">
        <v>14181.26933215928</v>
      </c>
      <c r="AF138" s="399">
        <v>682.41121655823292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53.525364969575833</v>
      </c>
      <c r="AM138" s="399"/>
      <c r="AN138" s="399">
        <v>4.7820835736410201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50.645084039137693</v>
      </c>
      <c r="BH138" s="399">
        <v>0</v>
      </c>
      <c r="BI138" s="399">
        <v>0</v>
      </c>
      <c r="BJ138" s="399">
        <v>0</v>
      </c>
      <c r="BK138" s="399">
        <v>0</v>
      </c>
      <c r="BL138" s="399">
        <v>0</v>
      </c>
      <c r="BM138" s="399"/>
      <c r="BN138" s="399"/>
      <c r="BO138" s="399"/>
      <c r="BP138" s="399"/>
      <c r="BQ138" s="399">
        <v>1016.9495567999982</v>
      </c>
      <c r="BR138" s="399"/>
      <c r="BS138" s="399"/>
      <c r="BT138" s="399"/>
      <c r="BU138" s="399"/>
      <c r="BV138" s="399">
        <v>733.05630059737064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15941.9835</v>
      </c>
      <c r="CJ138" s="399">
        <v>-2412.9619895999949</v>
      </c>
      <c r="CK138" s="399"/>
      <c r="CL138" s="399"/>
      <c r="CM138" s="399"/>
      <c r="CN138" s="399"/>
      <c r="CO138" s="399">
        <v>-2577.346559999999</v>
      </c>
      <c r="CP138" s="399">
        <v>0</v>
      </c>
      <c r="CQ138" s="399">
        <v>31</v>
      </c>
      <c r="CR138" s="399">
        <v>-57.415763080886791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-22.752017981133577</v>
      </c>
      <c r="DA138" s="399">
        <v>0</v>
      </c>
      <c r="DB138" s="399">
        <v>0</v>
      </c>
      <c r="DC138" s="399">
        <v>0</v>
      </c>
      <c r="DD138" s="399">
        <v>0</v>
      </c>
      <c r="DE138" s="399">
        <v>0</v>
      </c>
      <c r="DF138" s="399">
        <v>0</v>
      </c>
      <c r="DG138" s="399">
        <v>0</v>
      </c>
      <c r="DH138" s="399">
        <v>0</v>
      </c>
      <c r="DI138" s="399">
        <v>-29.706973528955984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-4.5613408503144228</v>
      </c>
      <c r="DP138" s="399">
        <v>-0.39543072048217542</v>
      </c>
      <c r="DQ138" s="399">
        <v>0</v>
      </c>
      <c r="DR138" s="399">
        <v>0</v>
      </c>
      <c r="DS138" s="399"/>
      <c r="DT138" s="399"/>
      <c r="DU138" s="399"/>
      <c r="DV138" s="399">
        <v>14181.26933215928</v>
      </c>
      <c r="DW138" s="399">
        <v>0</v>
      </c>
      <c r="DX138" s="399">
        <v>0</v>
      </c>
      <c r="DY138" s="399">
        <v>-2577.34656</v>
      </c>
      <c r="DZ138" s="399">
        <v>0</v>
      </c>
      <c r="EA138" s="399">
        <v>0</v>
      </c>
      <c r="EB138" s="399">
        <v>0</v>
      </c>
      <c r="EC138" s="399">
        <v>-2519.9260167713182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229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954</v>
      </c>
      <c r="C139" s="399" t="s">
        <v>2344</v>
      </c>
      <c r="D139" s="399" t="s">
        <v>533</v>
      </c>
      <c r="E139" s="399" t="s">
        <v>919</v>
      </c>
      <c r="F139" s="399" t="s">
        <v>2352</v>
      </c>
      <c r="G139" s="399" t="s">
        <v>1237</v>
      </c>
      <c r="H139" s="399" t="s">
        <v>1237</v>
      </c>
      <c r="I139" s="399" t="s">
        <v>2322</v>
      </c>
      <c r="J139" s="399" t="s">
        <v>2337</v>
      </c>
      <c r="K139" s="788">
        <v>44562</v>
      </c>
      <c r="L139" s="399">
        <v>0</v>
      </c>
      <c r="M139" s="399">
        <v>0</v>
      </c>
      <c r="N139" s="399">
        <v>47.715000000000003</v>
      </c>
      <c r="O139" s="399">
        <v>44.8521</v>
      </c>
      <c r="P139" s="399">
        <v>47.715000000000003</v>
      </c>
      <c r="Q139" s="399">
        <v>44.8521</v>
      </c>
      <c r="R139" s="399"/>
      <c r="S139" s="399">
        <v>72.13</v>
      </c>
      <c r="T139" s="399">
        <v>119.97</v>
      </c>
      <c r="U139" s="399"/>
      <c r="V139" s="399">
        <v>9166.0514999999996</v>
      </c>
      <c r="W139" s="399">
        <v>9166.0514999999996</v>
      </c>
      <c r="X139" s="399">
        <v>8875.4671500000004</v>
      </c>
      <c r="Y139" s="399">
        <v>0</v>
      </c>
      <c r="Z139" s="399">
        <v>2527.8712857909823</v>
      </c>
      <c r="AA139" s="399">
        <v>0</v>
      </c>
      <c r="AB139" s="399">
        <v>0</v>
      </c>
      <c r="AC139" s="399">
        <v>0</v>
      </c>
      <c r="AD139" s="399">
        <v>0</v>
      </c>
      <c r="AE139" s="399">
        <v>0</v>
      </c>
      <c r="AF139" s="399">
        <v>5724.5518983959364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449.00892924108842</v>
      </c>
      <c r="AM139" s="399"/>
      <c r="AN139" s="399">
        <v>40.115527024662676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424.84707892536136</v>
      </c>
      <c r="BH139" s="399">
        <v>0</v>
      </c>
      <c r="BI139" s="399">
        <v>0</v>
      </c>
      <c r="BJ139" s="399">
        <v>0</v>
      </c>
      <c r="BK139" s="399">
        <v>0</v>
      </c>
      <c r="BL139" s="399">
        <v>0</v>
      </c>
      <c r="BM139" s="399"/>
      <c r="BN139" s="399"/>
      <c r="BO139" s="399"/>
      <c r="BP139" s="399"/>
      <c r="BQ139" s="399">
        <v>532.52802900000063</v>
      </c>
      <c r="BR139" s="399"/>
      <c r="BS139" s="399"/>
      <c r="BT139" s="399"/>
      <c r="BU139" s="399"/>
      <c r="BV139" s="399">
        <v>6149.3989773212979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8342.5485000000008</v>
      </c>
      <c r="CJ139" s="399">
        <v>-273.56991000000016</v>
      </c>
      <c r="CK139" s="399"/>
      <c r="CL139" s="399"/>
      <c r="CM139" s="399"/>
      <c r="CN139" s="399"/>
      <c r="CO139" s="399">
        <v>-290.58434999999952</v>
      </c>
      <c r="CP139" s="399">
        <v>0</v>
      </c>
      <c r="CQ139" s="399">
        <v>31</v>
      </c>
      <c r="CR139" s="399">
        <v>-290.78421192592941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0</v>
      </c>
      <c r="DA139" s="399">
        <v>0</v>
      </c>
      <c r="DB139" s="399">
        <v>0</v>
      </c>
      <c r="DC139" s="399">
        <v>0</v>
      </c>
      <c r="DD139" s="399">
        <v>0</v>
      </c>
      <c r="DE139" s="399">
        <v>0</v>
      </c>
      <c r="DF139" s="399">
        <v>0</v>
      </c>
      <c r="DG139" s="399">
        <v>0</v>
      </c>
      <c r="DH139" s="399">
        <v>0</v>
      </c>
      <c r="DI139" s="399">
        <v>-249.20327741458095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-38.263779654140762</v>
      </c>
      <c r="DP139" s="399">
        <v>-3.3171548572093883</v>
      </c>
      <c r="DQ139" s="399">
        <v>0</v>
      </c>
      <c r="DR139" s="399">
        <v>0</v>
      </c>
      <c r="DS139" s="399"/>
      <c r="DT139" s="399"/>
      <c r="DU139" s="399"/>
      <c r="DV139" s="399">
        <v>0</v>
      </c>
      <c r="DW139" s="399">
        <v>0</v>
      </c>
      <c r="DX139" s="399">
        <v>0</v>
      </c>
      <c r="DY139" s="399">
        <v>-290.58434999999918</v>
      </c>
      <c r="DZ139" s="399">
        <v>0</v>
      </c>
      <c r="EA139" s="399">
        <v>0</v>
      </c>
      <c r="EB139" s="399">
        <v>0</v>
      </c>
      <c r="EC139" s="399">
        <v>0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229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954</v>
      </c>
      <c r="C140" s="399" t="s">
        <v>2344</v>
      </c>
      <c r="D140" s="399" t="s">
        <v>533</v>
      </c>
      <c r="E140" s="399" t="s">
        <v>919</v>
      </c>
      <c r="F140" s="399" t="s">
        <v>2352</v>
      </c>
      <c r="G140" s="399" t="s">
        <v>1237</v>
      </c>
      <c r="H140" s="399" t="s">
        <v>1237</v>
      </c>
      <c r="I140" s="399" t="s">
        <v>1237</v>
      </c>
      <c r="J140" s="399" t="s">
        <v>2337</v>
      </c>
      <c r="K140" s="788">
        <v>44562</v>
      </c>
      <c r="L140" s="399">
        <v>101</v>
      </c>
      <c r="M140" s="399">
        <v>94.94</v>
      </c>
      <c r="N140" s="399">
        <v>0</v>
      </c>
      <c r="O140" s="399">
        <v>0</v>
      </c>
      <c r="P140" s="399">
        <v>0</v>
      </c>
      <c r="Q140" s="399">
        <v>0</v>
      </c>
      <c r="R140" s="399">
        <v>46.29</v>
      </c>
      <c r="S140" s="399"/>
      <c r="T140" s="399"/>
      <c r="U140" s="399">
        <v>4675.29</v>
      </c>
      <c r="V140" s="399"/>
      <c r="W140" s="399">
        <v>4675.29</v>
      </c>
      <c r="X140" s="399">
        <v>4156.1499999999996</v>
      </c>
      <c r="Y140" s="399">
        <v>0</v>
      </c>
      <c r="Z140" s="399">
        <v>0</v>
      </c>
      <c r="AA140" s="399">
        <v>0</v>
      </c>
      <c r="AB140" s="399">
        <v>0</v>
      </c>
      <c r="AC140" s="399">
        <v>0</v>
      </c>
      <c r="AD140" s="399">
        <v>1809.2142497251059</v>
      </c>
      <c r="AE140" s="399">
        <v>2865.7162592474206</v>
      </c>
      <c r="AF140" s="399"/>
      <c r="AG140" s="399"/>
      <c r="AH140" s="399"/>
      <c r="AI140" s="399">
        <v>0</v>
      </c>
      <c r="AJ140" s="399">
        <v>0</v>
      </c>
      <c r="AK140" s="399">
        <v>0</v>
      </c>
      <c r="AL140" s="399">
        <v>0</v>
      </c>
      <c r="AM140" s="399"/>
      <c r="AN140" s="399">
        <v>0</v>
      </c>
      <c r="AO140" s="399">
        <v>0</v>
      </c>
      <c r="AP140" s="399">
        <v>0</v>
      </c>
      <c r="AQ140" s="399">
        <v>0</v>
      </c>
      <c r="AR140" s="399">
        <v>0</v>
      </c>
      <c r="AS140" s="399"/>
      <c r="AT140" s="399"/>
      <c r="AU140" s="399">
        <v>0</v>
      </c>
      <c r="AV140" s="399">
        <v>0</v>
      </c>
      <c r="AW140" s="399">
        <v>0</v>
      </c>
      <c r="AX140" s="399"/>
      <c r="AY140" s="399"/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/>
      <c r="BG140" s="399">
        <v>0</v>
      </c>
      <c r="BH140" s="399">
        <v>0</v>
      </c>
      <c r="BI140" s="399">
        <v>0</v>
      </c>
      <c r="BJ140" s="399">
        <v>0</v>
      </c>
      <c r="BK140" s="399">
        <v>11921.71</v>
      </c>
      <c r="BL140" s="399">
        <v>1</v>
      </c>
      <c r="BM140" s="399"/>
      <c r="BN140" s="399"/>
      <c r="BO140" s="399"/>
      <c r="BP140" s="399"/>
      <c r="BQ140" s="399">
        <v>249.36900000000009</v>
      </c>
      <c r="BR140" s="399"/>
      <c r="BS140" s="399"/>
      <c r="BT140" s="399"/>
      <c r="BU140" s="399"/>
      <c r="BV140" s="399">
        <v>0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3906.7809999999999</v>
      </c>
      <c r="CJ140" s="399">
        <v>-488.02160000000094</v>
      </c>
      <c r="CK140" s="399"/>
      <c r="CL140" s="399"/>
      <c r="CM140" s="399"/>
      <c r="CN140" s="399"/>
      <c r="CO140" s="399">
        <v>-519.1400000000001</v>
      </c>
      <c r="CP140" s="399">
        <v>0</v>
      </c>
      <c r="CQ140" s="399">
        <v>31</v>
      </c>
      <c r="CR140" s="399">
        <v>-9.6796216821167036</v>
      </c>
      <c r="CS140" s="399">
        <v>0</v>
      </c>
      <c r="CT140" s="399">
        <v>0</v>
      </c>
      <c r="CU140" s="399">
        <v>0</v>
      </c>
      <c r="CV140" s="399">
        <v>0</v>
      </c>
      <c r="CW140" s="399"/>
      <c r="CX140" s="399"/>
      <c r="CY140" s="399"/>
      <c r="CZ140" s="399">
        <v>-9.6796216821167036</v>
      </c>
      <c r="DA140" s="399">
        <v>0</v>
      </c>
      <c r="DB140" s="399">
        <v>0</v>
      </c>
      <c r="DC140" s="399"/>
      <c r="DD140" s="399"/>
      <c r="DE140" s="399">
        <v>0</v>
      </c>
      <c r="DF140" s="399">
        <v>0</v>
      </c>
      <c r="DG140" s="399">
        <v>0</v>
      </c>
      <c r="DH140" s="399">
        <v>0</v>
      </c>
      <c r="DI140" s="399">
        <v>0</v>
      </c>
      <c r="DJ140" s="399"/>
      <c r="DK140" s="399">
        <v>0</v>
      </c>
      <c r="DL140" s="399">
        <v>0</v>
      </c>
      <c r="DM140" s="399"/>
      <c r="DN140" s="399">
        <v>0</v>
      </c>
      <c r="DO140" s="399">
        <v>0</v>
      </c>
      <c r="DP140" s="399">
        <v>0</v>
      </c>
      <c r="DQ140" s="399">
        <v>0</v>
      </c>
      <c r="DR140" s="399">
        <v>0</v>
      </c>
      <c r="DS140" s="399"/>
      <c r="DT140" s="399"/>
      <c r="DU140" s="399">
        <v>2865.7162592474206</v>
      </c>
      <c r="DV140" s="399"/>
      <c r="DW140" s="399">
        <v>0</v>
      </c>
      <c r="DX140" s="399">
        <v>0</v>
      </c>
      <c r="DY140" s="399">
        <v>-519.14000000000033</v>
      </c>
      <c r="DZ140" s="399"/>
      <c r="EA140" s="399">
        <v>0</v>
      </c>
      <c r="EB140" s="399"/>
      <c r="EC140" s="399">
        <v>-509.22049283600245</v>
      </c>
      <c r="ED140" s="399"/>
      <c r="EE140" s="399">
        <v>0</v>
      </c>
      <c r="EF140" s="399">
        <v>0</v>
      </c>
      <c r="EG140" s="399"/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/>
      <c r="EN140" s="399"/>
      <c r="EO140" s="399">
        <v>0</v>
      </c>
      <c r="EP140" s="399">
        <v>0</v>
      </c>
      <c r="EQ140" s="399"/>
      <c r="ER140" s="399">
        <v>0</v>
      </c>
      <c r="ES140" s="399"/>
      <c r="ET140" s="399">
        <v>0</v>
      </c>
      <c r="EU140" s="399"/>
      <c r="EV140" s="399">
        <v>229</v>
      </c>
      <c r="EW140" s="399"/>
      <c r="EX140" s="399"/>
      <c r="EY140" s="399"/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954</v>
      </c>
      <c r="C141" s="399" t="s">
        <v>2336</v>
      </c>
      <c r="D141" s="399" t="s">
        <v>1819</v>
      </c>
      <c r="E141" s="399" t="s">
        <v>887</v>
      </c>
      <c r="F141" s="399" t="s">
        <v>887</v>
      </c>
      <c r="G141" s="399" t="s">
        <v>1237</v>
      </c>
      <c r="H141" s="399" t="s">
        <v>1237</v>
      </c>
      <c r="I141" s="399" t="s">
        <v>1237</v>
      </c>
      <c r="J141" s="399" t="s">
        <v>2337</v>
      </c>
      <c r="K141" s="788">
        <v>44593</v>
      </c>
      <c r="L141" s="399">
        <v>0</v>
      </c>
      <c r="M141" s="399">
        <v>0</v>
      </c>
      <c r="N141" s="399">
        <v>659.79499999999996</v>
      </c>
      <c r="O141" s="399">
        <v>659.79499999999996</v>
      </c>
      <c r="P141" s="399">
        <v>659.79499999999996</v>
      </c>
      <c r="Q141" s="399">
        <v>659.79499999999996</v>
      </c>
      <c r="R141" s="399"/>
      <c r="S141" s="399">
        <v>707.13</v>
      </c>
      <c r="T141" s="399">
        <v>119.97</v>
      </c>
      <c r="U141" s="399"/>
      <c r="V141" s="399">
        <v>545716.44449999998</v>
      </c>
      <c r="W141" s="399">
        <v>545716.44449999998</v>
      </c>
      <c r="X141" s="399">
        <v>481010.34884999995</v>
      </c>
      <c r="Y141" s="399">
        <v>0</v>
      </c>
      <c r="Z141" s="399">
        <v>40178.137071247067</v>
      </c>
      <c r="AA141" s="399">
        <v>0</v>
      </c>
      <c r="AB141" s="399">
        <v>0</v>
      </c>
      <c r="AC141" s="399">
        <v>0</v>
      </c>
      <c r="AD141" s="399">
        <v>70953.83359116959</v>
      </c>
      <c r="AE141" s="399">
        <v>336075.12671365106</v>
      </c>
      <c r="AF141" s="399">
        <v>79158.141460801562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6208.8200035339814</v>
      </c>
      <c r="AM141" s="399"/>
      <c r="AN141" s="399">
        <v>1419.4161595525236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11726.149569475772</v>
      </c>
      <c r="BH141" s="399">
        <v>0</v>
      </c>
      <c r="BI141" s="399">
        <v>0</v>
      </c>
      <c r="BJ141" s="399">
        <v>0</v>
      </c>
      <c r="BK141" s="399">
        <v>127158.62</v>
      </c>
      <c r="BL141" s="399">
        <v>3107</v>
      </c>
      <c r="BM141" s="399"/>
      <c r="BN141" s="399"/>
      <c r="BO141" s="399"/>
      <c r="BP141" s="399"/>
      <c r="BQ141" s="399"/>
      <c r="BR141" s="399"/>
      <c r="BS141" s="399"/>
      <c r="BT141" s="399"/>
      <c r="BU141" s="399"/>
      <c r="BV141" s="399">
        <v>90884.291030277338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481013.99399999995</v>
      </c>
      <c r="CJ141" s="399">
        <v>-64702.480500000063</v>
      </c>
      <c r="CK141" s="399"/>
      <c r="CL141" s="399"/>
      <c r="CM141" s="399"/>
      <c r="CN141" s="399"/>
      <c r="CO141" s="399">
        <v>-64706.095650000032</v>
      </c>
      <c r="CP141" s="399">
        <v>0</v>
      </c>
      <c r="CQ141" s="399">
        <v>29</v>
      </c>
      <c r="CR141" s="399">
        <v>-4986.9442399800755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-379.61577306948311</v>
      </c>
      <c r="DA141" s="399">
        <v>0</v>
      </c>
      <c r="DB141" s="399">
        <v>0</v>
      </c>
      <c r="DC141" s="399">
        <v>0</v>
      </c>
      <c r="DD141" s="399">
        <v>0</v>
      </c>
      <c r="DE141" s="399">
        <v>0</v>
      </c>
      <c r="DF141" s="399">
        <v>0</v>
      </c>
      <c r="DG141" s="399">
        <v>0</v>
      </c>
      <c r="DH141" s="399">
        <v>0</v>
      </c>
      <c r="DI141" s="399">
        <v>-3960.8517628436675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-529.10511363101341</v>
      </c>
      <c r="DP141" s="399">
        <v>-117.3715904359558</v>
      </c>
      <c r="DQ141" s="399">
        <v>0</v>
      </c>
      <c r="DR141" s="399">
        <v>0</v>
      </c>
      <c r="DS141" s="399"/>
      <c r="DT141" s="399"/>
      <c r="DU141" s="399"/>
      <c r="DV141" s="399">
        <v>336075.12671365106</v>
      </c>
      <c r="DW141" s="399">
        <v>0</v>
      </c>
      <c r="DX141" s="399">
        <v>0</v>
      </c>
      <c r="DY141" s="399">
        <v>-64706.095650000032</v>
      </c>
      <c r="DZ141" s="399">
        <v>0</v>
      </c>
      <c r="EA141" s="399">
        <v>0</v>
      </c>
      <c r="EB141" s="399">
        <v>0</v>
      </c>
      <c r="EC141" s="399">
        <v>-59718.522761213477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229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2338</v>
      </c>
      <c r="C142" s="399" t="s">
        <v>2336</v>
      </c>
      <c r="D142" s="399" t="s">
        <v>1819</v>
      </c>
      <c r="E142" s="399" t="s">
        <v>887</v>
      </c>
      <c r="F142" s="399" t="s">
        <v>887</v>
      </c>
      <c r="G142" s="399" t="s">
        <v>1237</v>
      </c>
      <c r="H142" s="399" t="s">
        <v>1237</v>
      </c>
      <c r="I142" s="399" t="s">
        <v>1237</v>
      </c>
      <c r="J142" s="399" t="s">
        <v>2337</v>
      </c>
      <c r="K142" s="788">
        <v>44593</v>
      </c>
      <c r="L142" s="399">
        <v>0</v>
      </c>
      <c r="M142" s="399">
        <v>0</v>
      </c>
      <c r="N142" s="399">
        <v>-6.9000000000000006E-2</v>
      </c>
      <c r="O142" s="399">
        <v>-6.9000000000000006E-2</v>
      </c>
      <c r="P142" s="399">
        <v>-6.9000000000000006E-2</v>
      </c>
      <c r="Q142" s="399">
        <v>-6.9000000000000006E-2</v>
      </c>
      <c r="R142" s="399"/>
      <c r="S142" s="399">
        <v>707.13</v>
      </c>
      <c r="T142" s="399">
        <v>119.97</v>
      </c>
      <c r="U142" s="399"/>
      <c r="V142" s="399">
        <v>-57.069900000000004</v>
      </c>
      <c r="W142" s="399">
        <v>-57.069900000000004</v>
      </c>
      <c r="X142" s="399">
        <v>-50.303070000000005</v>
      </c>
      <c r="Y142" s="399">
        <v>0</v>
      </c>
      <c r="Z142" s="399">
        <v>-4.2017466908904257</v>
      </c>
      <c r="AA142" s="399">
        <v>0</v>
      </c>
      <c r="AB142" s="399">
        <v>0</v>
      </c>
      <c r="AC142" s="399">
        <v>0</v>
      </c>
      <c r="AD142" s="399">
        <v>-7.420205545344694</v>
      </c>
      <c r="AE142" s="399">
        <v>-35.146043457804204</v>
      </c>
      <c r="AF142" s="399">
        <v>-8.2781951375735012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-0.64930558771109925</v>
      </c>
      <c r="AM142" s="399"/>
      <c r="AN142" s="399">
        <v>-0.14843961383327267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-1.2262965319437529</v>
      </c>
      <c r="BH142" s="399">
        <v>0</v>
      </c>
      <c r="BI142" s="399">
        <v>0</v>
      </c>
      <c r="BJ142" s="399">
        <v>0</v>
      </c>
      <c r="BK142" s="399">
        <v>0.56000000000000005</v>
      </c>
      <c r="BL142" s="399">
        <v>0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-9.5044916695172539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-51.0321</v>
      </c>
      <c r="CJ142" s="399">
        <v>6.0078000000000102</v>
      </c>
      <c r="CK142" s="399"/>
      <c r="CL142" s="399"/>
      <c r="CM142" s="399"/>
      <c r="CN142" s="399"/>
      <c r="CO142" s="399">
        <v>6.7668300000000041</v>
      </c>
      <c r="CP142" s="399">
        <v>0</v>
      </c>
      <c r="CQ142" s="399">
        <v>29</v>
      </c>
      <c r="CR142" s="399">
        <v>0.52152434098261935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3.9699434433110525E-2</v>
      </c>
      <c r="DA142" s="399">
        <v>0</v>
      </c>
      <c r="DB142" s="399">
        <v>0</v>
      </c>
      <c r="DC142" s="399">
        <v>0</v>
      </c>
      <c r="DD142" s="399">
        <v>0</v>
      </c>
      <c r="DE142" s="399">
        <v>0</v>
      </c>
      <c r="DF142" s="399">
        <v>0</v>
      </c>
      <c r="DG142" s="399">
        <v>0</v>
      </c>
      <c r="DH142" s="399">
        <v>0</v>
      </c>
      <c r="DI142" s="399">
        <v>0.41421770646369493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5.5332721285459741E-2</v>
      </c>
      <c r="DP142" s="399">
        <v>1.2274478800356092E-2</v>
      </c>
      <c r="DQ142" s="399">
        <v>0</v>
      </c>
      <c r="DR142" s="399">
        <v>0</v>
      </c>
      <c r="DS142" s="399"/>
      <c r="DT142" s="399"/>
      <c r="DU142" s="399"/>
      <c r="DV142" s="399">
        <v>-35.146043457804204</v>
      </c>
      <c r="DW142" s="399">
        <v>0</v>
      </c>
      <c r="DX142" s="399">
        <v>0</v>
      </c>
      <c r="DY142" s="399">
        <v>6.7668300000000059</v>
      </c>
      <c r="DZ142" s="399">
        <v>0</v>
      </c>
      <c r="EA142" s="399">
        <v>0</v>
      </c>
      <c r="EB142" s="399">
        <v>0</v>
      </c>
      <c r="EC142" s="399">
        <v>6.2452399162220544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229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2339</v>
      </c>
      <c r="C143" s="399" t="s">
        <v>2336</v>
      </c>
      <c r="D143" s="399" t="s">
        <v>1819</v>
      </c>
      <c r="E143" s="399" t="s">
        <v>887</v>
      </c>
      <c r="F143" s="399" t="s">
        <v>887</v>
      </c>
      <c r="G143" s="399" t="s">
        <v>1237</v>
      </c>
      <c r="H143" s="399" t="s">
        <v>1237</v>
      </c>
      <c r="I143" s="399" t="s">
        <v>1237</v>
      </c>
      <c r="J143" s="399" t="s">
        <v>2337</v>
      </c>
      <c r="K143" s="788">
        <v>44593</v>
      </c>
      <c r="L143" s="399">
        <v>0</v>
      </c>
      <c r="M143" s="399">
        <v>0</v>
      </c>
      <c r="N143" s="399">
        <v>8.2349999999999994</v>
      </c>
      <c r="O143" s="399">
        <v>8.2349999999999994</v>
      </c>
      <c r="P143" s="399">
        <v>8.2349999999999994</v>
      </c>
      <c r="Q143" s="399">
        <v>8.2349999999999994</v>
      </c>
      <c r="R143" s="399"/>
      <c r="S143" s="399">
        <v>707.13</v>
      </c>
      <c r="T143" s="399">
        <v>119.97</v>
      </c>
      <c r="U143" s="399"/>
      <c r="V143" s="399">
        <v>6811.1684999999998</v>
      </c>
      <c r="W143" s="399">
        <v>6811.1684999999998</v>
      </c>
      <c r="X143" s="399">
        <v>6003.5620499999986</v>
      </c>
      <c r="Y143" s="399">
        <v>0</v>
      </c>
      <c r="Z143" s="399">
        <v>501.46933332583546</v>
      </c>
      <c r="AA143" s="399">
        <v>0</v>
      </c>
      <c r="AB143" s="399">
        <v>0</v>
      </c>
      <c r="AC143" s="399">
        <v>0</v>
      </c>
      <c r="AD143" s="399">
        <v>885.58540095526871</v>
      </c>
      <c r="AE143" s="399">
        <v>4194.6038822466317</v>
      </c>
      <c r="AF143" s="399">
        <v>987.98459359301125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77.493210359433363</v>
      </c>
      <c r="AM143" s="399"/>
      <c r="AN143" s="399">
        <v>17.715945216188409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146.3558252254609</v>
      </c>
      <c r="BH143" s="399">
        <v>0</v>
      </c>
      <c r="BI143" s="399">
        <v>0</v>
      </c>
      <c r="BJ143" s="399">
        <v>0</v>
      </c>
      <c r="BK143" s="399">
        <v>4595.2700000000004</v>
      </c>
      <c r="BL143" s="399">
        <v>38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1134.3404188184722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6007.2071999999998</v>
      </c>
      <c r="CJ143" s="399">
        <v>-803.99130000000059</v>
      </c>
      <c r="CK143" s="399"/>
      <c r="CL143" s="399"/>
      <c r="CM143" s="399"/>
      <c r="CN143" s="399"/>
      <c r="CO143" s="399">
        <v>-807.60645000000034</v>
      </c>
      <c r="CP143" s="399">
        <v>0</v>
      </c>
      <c r="CQ143" s="399">
        <v>29</v>
      </c>
      <c r="CR143" s="399">
        <v>-62.242796347708918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-4.7380411964734321</v>
      </c>
      <c r="DA143" s="399">
        <v>0</v>
      </c>
      <c r="DB143" s="399">
        <v>0</v>
      </c>
      <c r="DC143" s="399">
        <v>0</v>
      </c>
      <c r="DD143" s="399">
        <v>0</v>
      </c>
      <c r="DE143" s="399">
        <v>0</v>
      </c>
      <c r="DF143" s="399">
        <v>0</v>
      </c>
      <c r="DG143" s="399">
        <v>0</v>
      </c>
      <c r="DH143" s="399">
        <v>0</v>
      </c>
      <c r="DI143" s="399">
        <v>-49.435982793167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-6.6038399968950898</v>
      </c>
      <c r="DP143" s="399">
        <v>-1.4649323611729343</v>
      </c>
      <c r="DQ143" s="399">
        <v>0</v>
      </c>
      <c r="DR143" s="399">
        <v>0</v>
      </c>
      <c r="DS143" s="399"/>
      <c r="DT143" s="399"/>
      <c r="DU143" s="399"/>
      <c r="DV143" s="399">
        <v>4194.6038822466317</v>
      </c>
      <c r="DW143" s="399">
        <v>0</v>
      </c>
      <c r="DX143" s="399">
        <v>0</v>
      </c>
      <c r="DY143" s="399">
        <v>-807.60645000000113</v>
      </c>
      <c r="DZ143" s="399">
        <v>0</v>
      </c>
      <c r="EA143" s="399">
        <v>0</v>
      </c>
      <c r="EB143" s="399">
        <v>0</v>
      </c>
      <c r="EC143" s="399">
        <v>-745.35580739258876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229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954</v>
      </c>
      <c r="C144" s="399" t="s">
        <v>2336</v>
      </c>
      <c r="D144" s="399" t="s">
        <v>1819</v>
      </c>
      <c r="E144" s="399" t="s">
        <v>887</v>
      </c>
      <c r="F144" s="399" t="s">
        <v>2340</v>
      </c>
      <c r="G144" s="399" t="s">
        <v>1237</v>
      </c>
      <c r="H144" s="399" t="s">
        <v>1237</v>
      </c>
      <c r="I144" s="399" t="s">
        <v>1237</v>
      </c>
      <c r="J144" s="399" t="s">
        <v>2337</v>
      </c>
      <c r="K144" s="788">
        <v>44593</v>
      </c>
      <c r="L144" s="399">
        <v>0</v>
      </c>
      <c r="M144" s="399">
        <v>0</v>
      </c>
      <c r="N144" s="399">
        <v>4.41</v>
      </c>
      <c r="O144" s="399">
        <v>4.41</v>
      </c>
      <c r="P144" s="399">
        <v>4.41</v>
      </c>
      <c r="Q144" s="399">
        <v>4.41</v>
      </c>
      <c r="R144" s="399"/>
      <c r="S144" s="399">
        <v>636.83000000000004</v>
      </c>
      <c r="T144" s="399">
        <v>119.97</v>
      </c>
      <c r="U144" s="399"/>
      <c r="V144" s="399">
        <v>3337.4880000000003</v>
      </c>
      <c r="W144" s="399">
        <v>3337.4880000000003</v>
      </c>
      <c r="X144" s="399">
        <v>2934.9872999999998</v>
      </c>
      <c r="Y144" s="399">
        <v>0</v>
      </c>
      <c r="Z144" s="399">
        <v>0</v>
      </c>
      <c r="AA144" s="399">
        <v>0</v>
      </c>
      <c r="AB144" s="399">
        <v>0</v>
      </c>
      <c r="AC144" s="399">
        <v>0</v>
      </c>
      <c r="AD144" s="399">
        <v>474.24791963724778</v>
      </c>
      <c r="AE144" s="399">
        <v>2246.290603607486</v>
      </c>
      <c r="AF144" s="399">
        <v>529.0846457492629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0</v>
      </c>
      <c r="AM144" s="399"/>
      <c r="AN144" s="399">
        <v>9.4872274928222105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78.376343563361587</v>
      </c>
      <c r="BH144" s="399">
        <v>0</v>
      </c>
      <c r="BI144" s="399">
        <v>0</v>
      </c>
      <c r="BJ144" s="399">
        <v>0</v>
      </c>
      <c r="BK144" s="399">
        <v>139.65</v>
      </c>
      <c r="BL144" s="399">
        <v>7</v>
      </c>
      <c r="BM144" s="399"/>
      <c r="BN144" s="399"/>
      <c r="BO144" s="399"/>
      <c r="BP144" s="399"/>
      <c r="BQ144" s="399"/>
      <c r="BR144" s="399"/>
      <c r="BS144" s="399"/>
      <c r="BT144" s="399">
        <v>1907.7219</v>
      </c>
      <c r="BU144" s="399"/>
      <c r="BV144" s="399">
        <v>607.46098931262452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1027.2654</v>
      </c>
      <c r="CJ144" s="399">
        <v>-140.88539999999989</v>
      </c>
      <c r="CK144" s="399"/>
      <c r="CL144" s="399"/>
      <c r="CM144" s="399"/>
      <c r="CN144" s="399"/>
      <c r="CO144" s="399">
        <v>-402.50070000000045</v>
      </c>
      <c r="CP144" s="399">
        <v>0</v>
      </c>
      <c r="CQ144" s="399">
        <v>29</v>
      </c>
      <c r="CR144" s="399">
        <v>-3.3218109762258337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-2.537311678985759</v>
      </c>
      <c r="DA144" s="399">
        <v>0</v>
      </c>
      <c r="DB144" s="399">
        <v>0</v>
      </c>
      <c r="DC144" s="399">
        <v>0</v>
      </c>
      <c r="DD144" s="399">
        <v>0</v>
      </c>
      <c r="DE144" s="399">
        <v>0</v>
      </c>
      <c r="DF144" s="399">
        <v>0</v>
      </c>
      <c r="DG144" s="399">
        <v>0</v>
      </c>
      <c r="DH144" s="399">
        <v>0</v>
      </c>
      <c r="DI144" s="399">
        <v>0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0</v>
      </c>
      <c r="DP144" s="399">
        <v>-0.78449929724015277</v>
      </c>
      <c r="DQ144" s="399">
        <v>0</v>
      </c>
      <c r="DR144" s="399">
        <v>0</v>
      </c>
      <c r="DS144" s="399"/>
      <c r="DT144" s="399"/>
      <c r="DU144" s="399"/>
      <c r="DV144" s="399">
        <v>2246.290603607486</v>
      </c>
      <c r="DW144" s="399">
        <v>0</v>
      </c>
      <c r="DX144" s="399">
        <v>0</v>
      </c>
      <c r="DY144" s="399">
        <v>-402.50070000000051</v>
      </c>
      <c r="DZ144" s="399">
        <v>0</v>
      </c>
      <c r="EA144" s="399">
        <v>0</v>
      </c>
      <c r="EB144" s="399">
        <v>0</v>
      </c>
      <c r="EC144" s="399">
        <v>-399.15229029767033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229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954</v>
      </c>
      <c r="C145" s="399" t="s">
        <v>2336</v>
      </c>
      <c r="D145" s="399" t="s">
        <v>1819</v>
      </c>
      <c r="E145" s="399" t="s">
        <v>887</v>
      </c>
      <c r="F145" s="399" t="s">
        <v>2341</v>
      </c>
      <c r="G145" s="399" t="s">
        <v>1237</v>
      </c>
      <c r="H145" s="399" t="s">
        <v>1237</v>
      </c>
      <c r="I145" s="399" t="s">
        <v>1237</v>
      </c>
      <c r="J145" s="399" t="s">
        <v>2337</v>
      </c>
      <c r="K145" s="788">
        <v>44593</v>
      </c>
      <c r="L145" s="399">
        <v>0</v>
      </c>
      <c r="M145" s="399">
        <v>0</v>
      </c>
      <c r="N145" s="399">
        <v>9.3819999999999997</v>
      </c>
      <c r="O145" s="399">
        <v>9.3819999999999997</v>
      </c>
      <c r="P145" s="399">
        <v>9.3819999999999997</v>
      </c>
      <c r="Q145" s="399">
        <v>9.3819999999999997</v>
      </c>
      <c r="R145" s="399"/>
      <c r="S145" s="399">
        <v>636.83000000000004</v>
      </c>
      <c r="T145" s="399">
        <v>119.97</v>
      </c>
      <c r="U145" s="399"/>
      <c r="V145" s="399">
        <v>7100.2975999999999</v>
      </c>
      <c r="W145" s="399">
        <v>7100.2975999999999</v>
      </c>
      <c r="X145" s="399">
        <v>6244.0024599999997</v>
      </c>
      <c r="Y145" s="399">
        <v>0</v>
      </c>
      <c r="Z145" s="399">
        <v>0</v>
      </c>
      <c r="AA145" s="399">
        <v>0</v>
      </c>
      <c r="AB145" s="399">
        <v>0</v>
      </c>
      <c r="AC145" s="399">
        <v>0</v>
      </c>
      <c r="AD145" s="399">
        <v>1008.932875745274</v>
      </c>
      <c r="AE145" s="399">
        <v>4778.8431843640437</v>
      </c>
      <c r="AF145" s="399">
        <v>1125.594591024849</v>
      </c>
      <c r="AG145" s="399">
        <v>0</v>
      </c>
      <c r="AH145" s="399">
        <v>0</v>
      </c>
      <c r="AI145" s="399">
        <v>0</v>
      </c>
      <c r="AJ145" s="399">
        <v>0</v>
      </c>
      <c r="AK145" s="399">
        <v>0</v>
      </c>
      <c r="AL145" s="399">
        <v>0</v>
      </c>
      <c r="AM145" s="399"/>
      <c r="AN145" s="399">
        <v>20.183484883822668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166.74078351733752</v>
      </c>
      <c r="BH145" s="399">
        <v>0</v>
      </c>
      <c r="BI145" s="399">
        <v>0</v>
      </c>
      <c r="BJ145" s="399">
        <v>0</v>
      </c>
      <c r="BK145" s="399">
        <v>510.58</v>
      </c>
      <c r="BL145" s="399">
        <v>17</v>
      </c>
      <c r="BM145" s="399"/>
      <c r="BN145" s="399"/>
      <c r="BO145" s="399"/>
      <c r="BP145" s="399"/>
      <c r="BQ145" s="399"/>
      <c r="BR145" s="399"/>
      <c r="BS145" s="399"/>
      <c r="BT145" s="399">
        <v>2497.5822199999993</v>
      </c>
      <c r="BU145" s="399"/>
      <c r="BV145" s="399">
        <v>1292.3353745421866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3745.6215999999999</v>
      </c>
      <c r="CJ145" s="399">
        <v>-514.586960000001</v>
      </c>
      <c r="CK145" s="399"/>
      <c r="CL145" s="399"/>
      <c r="CM145" s="399"/>
      <c r="CN145" s="399"/>
      <c r="CO145" s="399">
        <v>-856.29514000000086</v>
      </c>
      <c r="CP145" s="399">
        <v>0</v>
      </c>
      <c r="CQ145" s="399">
        <v>29</v>
      </c>
      <c r="CR145" s="399">
        <v>-7.0669457095123107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-5.3979723746585933</v>
      </c>
      <c r="DA145" s="399">
        <v>0</v>
      </c>
      <c r="DB145" s="399">
        <v>0</v>
      </c>
      <c r="DC145" s="399">
        <v>0</v>
      </c>
      <c r="DD145" s="399">
        <v>0</v>
      </c>
      <c r="DE145" s="399">
        <v>0</v>
      </c>
      <c r="DF145" s="399">
        <v>0</v>
      </c>
      <c r="DG145" s="399">
        <v>0</v>
      </c>
      <c r="DH145" s="399">
        <v>0</v>
      </c>
      <c r="DI145" s="399">
        <v>0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0</v>
      </c>
      <c r="DP145" s="399">
        <v>-1.6689733348542184</v>
      </c>
      <c r="DQ145" s="399">
        <v>0</v>
      </c>
      <c r="DR145" s="399">
        <v>0</v>
      </c>
      <c r="DS145" s="399"/>
      <c r="DT145" s="399"/>
      <c r="DU145" s="399"/>
      <c r="DV145" s="399">
        <v>4778.8431843640437</v>
      </c>
      <c r="DW145" s="399">
        <v>0</v>
      </c>
      <c r="DX145" s="399">
        <v>0</v>
      </c>
      <c r="DY145" s="399">
        <v>-856.29514000000017</v>
      </c>
      <c r="DZ145" s="399">
        <v>0</v>
      </c>
      <c r="EA145" s="399">
        <v>0</v>
      </c>
      <c r="EB145" s="399">
        <v>0</v>
      </c>
      <c r="EC145" s="399">
        <v>-849.17160715935233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229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954</v>
      </c>
      <c r="C146" s="399" t="s">
        <v>2336</v>
      </c>
      <c r="D146" s="399" t="s">
        <v>1819</v>
      </c>
      <c r="E146" s="399" t="s">
        <v>887</v>
      </c>
      <c r="F146" s="399" t="s">
        <v>2342</v>
      </c>
      <c r="G146" s="399" t="s">
        <v>1237</v>
      </c>
      <c r="H146" s="399" t="s">
        <v>1237</v>
      </c>
      <c r="I146" s="399" t="s">
        <v>1237</v>
      </c>
      <c r="J146" s="399" t="s">
        <v>2337</v>
      </c>
      <c r="K146" s="788">
        <v>44593</v>
      </c>
      <c r="L146" s="399">
        <v>0</v>
      </c>
      <c r="M146" s="399">
        <v>0</v>
      </c>
      <c r="N146" s="399">
        <v>11.077</v>
      </c>
      <c r="O146" s="399">
        <v>11.077</v>
      </c>
      <c r="P146" s="399">
        <v>11.077</v>
      </c>
      <c r="Q146" s="399">
        <v>11.077</v>
      </c>
      <c r="R146" s="399"/>
      <c r="S146" s="399">
        <v>636.83000000000004</v>
      </c>
      <c r="T146" s="399">
        <v>119.97</v>
      </c>
      <c r="U146" s="399"/>
      <c r="V146" s="399">
        <v>8383.0735999999997</v>
      </c>
      <c r="W146" s="399">
        <v>8383.0735999999997</v>
      </c>
      <c r="X146" s="399">
        <v>7372.0758099999994</v>
      </c>
      <c r="Y146" s="399">
        <v>0</v>
      </c>
      <c r="Z146" s="399">
        <v>0</v>
      </c>
      <c r="AA146" s="399">
        <v>0</v>
      </c>
      <c r="AB146" s="399">
        <v>0</v>
      </c>
      <c r="AC146" s="399">
        <v>0</v>
      </c>
      <c r="AD146" s="399">
        <v>1191.2118380548286</v>
      </c>
      <c r="AE146" s="399">
        <v>5642.2133823492341</v>
      </c>
      <c r="AF146" s="399">
        <v>1328.9502541869806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0</v>
      </c>
      <c r="AM146" s="399"/>
      <c r="AN146" s="399">
        <v>23.829936267118281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196.86502441073839</v>
      </c>
      <c r="BH146" s="399">
        <v>0</v>
      </c>
      <c r="BI146" s="399">
        <v>0</v>
      </c>
      <c r="BJ146" s="399">
        <v>0</v>
      </c>
      <c r="BK146" s="399">
        <v>1543.23</v>
      </c>
      <c r="BL146" s="399">
        <v>65</v>
      </c>
      <c r="BM146" s="399"/>
      <c r="BN146" s="399"/>
      <c r="BO146" s="399"/>
      <c r="BP146" s="399"/>
      <c r="BQ146" s="399"/>
      <c r="BR146" s="399"/>
      <c r="BS146" s="399"/>
      <c r="BT146" s="399">
        <v>737.06357999999943</v>
      </c>
      <c r="BU146" s="399"/>
      <c r="BV146" s="399">
        <v>1525.815278597719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6636.8091999999997</v>
      </c>
      <c r="CJ146" s="399">
        <v>-907.98704000000089</v>
      </c>
      <c r="CK146" s="399"/>
      <c r="CL146" s="399"/>
      <c r="CM146" s="399"/>
      <c r="CN146" s="399"/>
      <c r="CO146" s="399">
        <v>-1010.997790000001</v>
      </c>
      <c r="CP146" s="399">
        <v>0</v>
      </c>
      <c r="CQ146" s="399">
        <v>29</v>
      </c>
      <c r="CR146" s="399">
        <v>-8.3436961867701029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-6.3731976118199327</v>
      </c>
      <c r="DA146" s="399">
        <v>0</v>
      </c>
      <c r="DB146" s="399">
        <v>0</v>
      </c>
      <c r="DC146" s="399">
        <v>0</v>
      </c>
      <c r="DD146" s="399">
        <v>0</v>
      </c>
      <c r="DE146" s="399">
        <v>0</v>
      </c>
      <c r="DF146" s="399">
        <v>0</v>
      </c>
      <c r="DG146" s="399">
        <v>0</v>
      </c>
      <c r="DH146" s="399">
        <v>0</v>
      </c>
      <c r="DI146" s="399">
        <v>0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0</v>
      </c>
      <c r="DP146" s="399">
        <v>-1.9704985749499251</v>
      </c>
      <c r="DQ146" s="399">
        <v>0</v>
      </c>
      <c r="DR146" s="399">
        <v>0</v>
      </c>
      <c r="DS146" s="399"/>
      <c r="DT146" s="399"/>
      <c r="DU146" s="399"/>
      <c r="DV146" s="399">
        <v>5642.2133823492341</v>
      </c>
      <c r="DW146" s="399">
        <v>0</v>
      </c>
      <c r="DX146" s="399">
        <v>0</v>
      </c>
      <c r="DY146" s="399">
        <v>-1010.9977900000013</v>
      </c>
      <c r="DZ146" s="399">
        <v>0</v>
      </c>
      <c r="EA146" s="399">
        <v>0</v>
      </c>
      <c r="EB146" s="399">
        <v>0</v>
      </c>
      <c r="EC146" s="399">
        <v>-1002.5872833621988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229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954</v>
      </c>
      <c r="C147" s="399" t="s">
        <v>2336</v>
      </c>
      <c r="D147" s="399" t="s">
        <v>1819</v>
      </c>
      <c r="E147" s="399" t="s">
        <v>887</v>
      </c>
      <c r="F147" s="399" t="s">
        <v>2343</v>
      </c>
      <c r="G147" s="399" t="s">
        <v>1237</v>
      </c>
      <c r="H147" s="399" t="s">
        <v>1237</v>
      </c>
      <c r="I147" s="399" t="s">
        <v>1237</v>
      </c>
      <c r="J147" s="399" t="s">
        <v>2337</v>
      </c>
      <c r="K147" s="788">
        <v>44593</v>
      </c>
      <c r="L147" s="399">
        <v>0</v>
      </c>
      <c r="M147" s="399">
        <v>0</v>
      </c>
      <c r="N147" s="399">
        <v>7.4379999999999997</v>
      </c>
      <c r="O147" s="399">
        <v>7.4379999999999997</v>
      </c>
      <c r="P147" s="399">
        <v>7.4379999999999997</v>
      </c>
      <c r="Q147" s="399">
        <v>7.4379999999999997</v>
      </c>
      <c r="R147" s="399"/>
      <c r="S147" s="399">
        <v>636.83000000000004</v>
      </c>
      <c r="T147" s="399">
        <v>119.97</v>
      </c>
      <c r="U147" s="399"/>
      <c r="V147" s="399">
        <v>5629.0784000000003</v>
      </c>
      <c r="W147" s="399">
        <v>5629.0784000000003</v>
      </c>
      <c r="X147" s="399">
        <v>4950.2121399999996</v>
      </c>
      <c r="Y147" s="399">
        <v>0</v>
      </c>
      <c r="Z147" s="399">
        <v>0</v>
      </c>
      <c r="AA147" s="399">
        <v>0</v>
      </c>
      <c r="AB147" s="399">
        <v>0</v>
      </c>
      <c r="AC147" s="399">
        <v>0</v>
      </c>
      <c r="AD147" s="399">
        <v>799.87664994599743</v>
      </c>
      <c r="AE147" s="399">
        <v>3788.6416121615598</v>
      </c>
      <c r="AF147" s="399">
        <v>892.36544106190865</v>
      </c>
      <c r="AG147" s="399">
        <v>0</v>
      </c>
      <c r="AH147" s="399">
        <v>0</v>
      </c>
      <c r="AI147" s="399">
        <v>0</v>
      </c>
      <c r="AJ147" s="399">
        <v>0</v>
      </c>
      <c r="AK147" s="399">
        <v>0</v>
      </c>
      <c r="AL147" s="399">
        <v>0</v>
      </c>
      <c r="AM147" s="399"/>
      <c r="AN147" s="399">
        <v>16.001360111476551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132.19121166083525</v>
      </c>
      <c r="BH147" s="399">
        <v>0</v>
      </c>
      <c r="BI147" s="399">
        <v>0</v>
      </c>
      <c r="BJ147" s="399">
        <v>0</v>
      </c>
      <c r="BK147" s="399">
        <v>1649.81</v>
      </c>
      <c r="BL147" s="399">
        <v>58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>
        <v>1024.5566527227438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4951.5432000000001</v>
      </c>
      <c r="CJ147" s="399">
        <v>-677.56520000000091</v>
      </c>
      <c r="CK147" s="399"/>
      <c r="CL147" s="399"/>
      <c r="CM147" s="399"/>
      <c r="CN147" s="399"/>
      <c r="CO147" s="399">
        <v>-678.86626000000069</v>
      </c>
      <c r="CP147" s="399">
        <v>0</v>
      </c>
      <c r="CQ147" s="399">
        <v>29</v>
      </c>
      <c r="CR147" s="399">
        <v>-5.602637197544027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-4.2794839610648978</v>
      </c>
      <c r="DA147" s="399">
        <v>0</v>
      </c>
      <c r="DB147" s="399">
        <v>0</v>
      </c>
      <c r="DC147" s="399">
        <v>0</v>
      </c>
      <c r="DD147" s="399">
        <v>0</v>
      </c>
      <c r="DE147" s="399">
        <v>0</v>
      </c>
      <c r="DF147" s="399">
        <v>0</v>
      </c>
      <c r="DG147" s="399">
        <v>0</v>
      </c>
      <c r="DH147" s="399">
        <v>0</v>
      </c>
      <c r="DI147" s="399">
        <v>0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0</v>
      </c>
      <c r="DP147" s="399">
        <v>-1.3231532364789658</v>
      </c>
      <c r="DQ147" s="399">
        <v>0</v>
      </c>
      <c r="DR147" s="399">
        <v>0</v>
      </c>
      <c r="DS147" s="399"/>
      <c r="DT147" s="399"/>
      <c r="DU147" s="399"/>
      <c r="DV147" s="399">
        <v>3788.6416121615598</v>
      </c>
      <c r="DW147" s="399">
        <v>0</v>
      </c>
      <c r="DX147" s="399">
        <v>0</v>
      </c>
      <c r="DY147" s="399">
        <v>-678.86626000000069</v>
      </c>
      <c r="DZ147" s="399">
        <v>0</v>
      </c>
      <c r="EA147" s="399">
        <v>0</v>
      </c>
      <c r="EB147" s="399">
        <v>0</v>
      </c>
      <c r="EC147" s="399">
        <v>-673.21876082405242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0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229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954</v>
      </c>
      <c r="C148" s="399" t="s">
        <v>2336</v>
      </c>
      <c r="D148" s="399" t="s">
        <v>1822</v>
      </c>
      <c r="E148" s="399" t="s">
        <v>888</v>
      </c>
      <c r="F148" s="399" t="s">
        <v>1237</v>
      </c>
      <c r="G148" s="399" t="s">
        <v>1237</v>
      </c>
      <c r="H148" s="399" t="s">
        <v>1237</v>
      </c>
      <c r="I148" s="399" t="s">
        <v>1237</v>
      </c>
      <c r="J148" s="399" t="s">
        <v>2337</v>
      </c>
      <c r="K148" s="788">
        <v>44593</v>
      </c>
      <c r="L148" s="399">
        <v>0</v>
      </c>
      <c r="M148" s="399">
        <v>0</v>
      </c>
      <c r="N148" s="399">
        <v>141.63800000000001</v>
      </c>
      <c r="O148" s="399">
        <v>141.63800000000001</v>
      </c>
      <c r="P148" s="399">
        <v>141.63800000000001</v>
      </c>
      <c r="Q148" s="399">
        <v>141.63800000000001</v>
      </c>
      <c r="R148" s="399"/>
      <c r="S148" s="399">
        <v>707.13</v>
      </c>
      <c r="T148" s="399">
        <v>119.97</v>
      </c>
      <c r="U148" s="399"/>
      <c r="V148" s="399">
        <v>117148.7898</v>
      </c>
      <c r="W148" s="399">
        <v>117148.7898</v>
      </c>
      <c r="X148" s="399">
        <v>103258.35114</v>
      </c>
      <c r="Y148" s="399">
        <v>0</v>
      </c>
      <c r="Z148" s="399">
        <v>8625.0289536860582</v>
      </c>
      <c r="AA148" s="399">
        <v>0</v>
      </c>
      <c r="AB148" s="399">
        <v>0</v>
      </c>
      <c r="AC148" s="399">
        <v>0</v>
      </c>
      <c r="AD148" s="399">
        <v>15231.638739587415</v>
      </c>
      <c r="AE148" s="399">
        <v>72145.149322847414</v>
      </c>
      <c r="AF148" s="399">
        <v>16992.855114429502</v>
      </c>
      <c r="AG148" s="399">
        <v>0</v>
      </c>
      <c r="AH148" s="399">
        <v>0</v>
      </c>
      <c r="AI148" s="399">
        <v>0</v>
      </c>
      <c r="AJ148" s="399">
        <v>0</v>
      </c>
      <c r="AK148" s="399">
        <v>0</v>
      </c>
      <c r="AL148" s="399">
        <v>1332.8455772786185</v>
      </c>
      <c r="AM148" s="399"/>
      <c r="AN148" s="399">
        <v>304.70565252343584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2517.2491042239021</v>
      </c>
      <c r="BH148" s="399">
        <v>0</v>
      </c>
      <c r="BI148" s="399">
        <v>0</v>
      </c>
      <c r="BJ148" s="399">
        <v>0</v>
      </c>
      <c r="BK148" s="399">
        <v>41123.15</v>
      </c>
      <c r="BL148" s="399">
        <v>66</v>
      </c>
      <c r="BM148" s="399"/>
      <c r="BN148" s="399"/>
      <c r="BO148" s="399"/>
      <c r="BP148" s="399"/>
      <c r="BQ148" s="399"/>
      <c r="BR148" s="399"/>
      <c r="BS148" s="399"/>
      <c r="BT148" s="399"/>
      <c r="BU148" s="399"/>
      <c r="BV148" s="399">
        <v>19510.104218653403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103259.80919999997</v>
      </c>
      <c r="CJ148" s="399">
        <v>-13889.010600000009</v>
      </c>
      <c r="CK148" s="399"/>
      <c r="CL148" s="399"/>
      <c r="CM148" s="399"/>
      <c r="CN148" s="399"/>
      <c r="CO148" s="399">
        <v>-13890.438660000007</v>
      </c>
      <c r="CP148" s="399">
        <v>0</v>
      </c>
      <c r="CQ148" s="399">
        <v>29</v>
      </c>
      <c r="CR148" s="399">
        <v>-1070.545863885447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-81.492007162853042</v>
      </c>
      <c r="DA148" s="399">
        <v>0</v>
      </c>
      <c r="DB148" s="399">
        <v>0</v>
      </c>
      <c r="DC148" s="399">
        <v>0</v>
      </c>
      <c r="DD148" s="399">
        <v>0</v>
      </c>
      <c r="DE148" s="399">
        <v>0</v>
      </c>
      <c r="DF148" s="399">
        <v>0</v>
      </c>
      <c r="DG148" s="399">
        <v>0</v>
      </c>
      <c r="DH148" s="399">
        <v>0</v>
      </c>
      <c r="DI148" s="399">
        <v>-850.27489142180821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-113.58284025260787</v>
      </c>
      <c r="DP148" s="399">
        <v>-25.196125048186047</v>
      </c>
      <c r="DQ148" s="399">
        <v>0</v>
      </c>
      <c r="DR148" s="399">
        <v>0</v>
      </c>
      <c r="DS148" s="399"/>
      <c r="DT148" s="399"/>
      <c r="DU148" s="399"/>
      <c r="DV148" s="399">
        <v>72145.149322847414</v>
      </c>
      <c r="DW148" s="399">
        <v>0</v>
      </c>
      <c r="DX148" s="399">
        <v>0</v>
      </c>
      <c r="DY148" s="399">
        <v>-13890.43866</v>
      </c>
      <c r="DZ148" s="399">
        <v>0</v>
      </c>
      <c r="EA148" s="399">
        <v>0</v>
      </c>
      <c r="EB148" s="399">
        <v>0</v>
      </c>
      <c r="EC148" s="399">
        <v>-12819.757844258827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229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2339</v>
      </c>
      <c r="C149" s="399" t="s">
        <v>2336</v>
      </c>
      <c r="D149" s="399" t="s">
        <v>1822</v>
      </c>
      <c r="E149" s="399" t="s">
        <v>888</v>
      </c>
      <c r="F149" s="399" t="s">
        <v>1237</v>
      </c>
      <c r="G149" s="399" t="s">
        <v>1237</v>
      </c>
      <c r="H149" s="399" t="s">
        <v>1237</v>
      </c>
      <c r="I149" s="399" t="s">
        <v>1237</v>
      </c>
      <c r="J149" s="399" t="s">
        <v>2337</v>
      </c>
      <c r="K149" s="788">
        <v>44593</v>
      </c>
      <c r="L149" s="399">
        <v>0</v>
      </c>
      <c r="M149" s="399">
        <v>0</v>
      </c>
      <c r="N149" s="399">
        <v>0.2</v>
      </c>
      <c r="O149" s="399">
        <v>0.2</v>
      </c>
      <c r="P149" s="399">
        <v>0.2</v>
      </c>
      <c r="Q149" s="399">
        <v>0.2</v>
      </c>
      <c r="R149" s="399"/>
      <c r="S149" s="399">
        <v>707.13</v>
      </c>
      <c r="T149" s="399">
        <v>119.97</v>
      </c>
      <c r="U149" s="399"/>
      <c r="V149" s="399">
        <v>165.42000000000002</v>
      </c>
      <c r="W149" s="399">
        <v>165.42000000000002</v>
      </c>
      <c r="X149" s="399">
        <v>145.80599999999998</v>
      </c>
      <c r="Y149" s="399">
        <v>0</v>
      </c>
      <c r="Z149" s="399">
        <v>12.17897591562442</v>
      </c>
      <c r="AA149" s="399">
        <v>0</v>
      </c>
      <c r="AB149" s="399">
        <v>0</v>
      </c>
      <c r="AC149" s="399">
        <v>0</v>
      </c>
      <c r="AD149" s="399">
        <v>21.507842160419401</v>
      </c>
      <c r="AE149" s="399">
        <v>101.8725897327658</v>
      </c>
      <c r="AF149" s="399">
        <v>23.9947685147058</v>
      </c>
      <c r="AG149" s="399">
        <v>0</v>
      </c>
      <c r="AH149" s="399">
        <v>0</v>
      </c>
      <c r="AI149" s="399">
        <v>0</v>
      </c>
      <c r="AJ149" s="399">
        <v>0</v>
      </c>
      <c r="AK149" s="399">
        <v>0</v>
      </c>
      <c r="AL149" s="399">
        <v>1.8820451817713022</v>
      </c>
      <c r="AM149" s="399"/>
      <c r="AN149" s="399">
        <v>0.43025975024137009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3.5544827012862399</v>
      </c>
      <c r="BH149" s="399">
        <v>0</v>
      </c>
      <c r="BI149" s="399">
        <v>0</v>
      </c>
      <c r="BJ149" s="399">
        <v>0</v>
      </c>
      <c r="BK149" s="399">
        <v>804.57</v>
      </c>
      <c r="BL149" s="399">
        <v>2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27.54925121599204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145.80599999999998</v>
      </c>
      <c r="CJ149" s="399">
        <v>-19.644000000000005</v>
      </c>
      <c r="CK149" s="399"/>
      <c r="CL149" s="399"/>
      <c r="CM149" s="399"/>
      <c r="CN149" s="399"/>
      <c r="CO149" s="399">
        <v>-19.614000000000011</v>
      </c>
      <c r="CP149" s="399">
        <v>0</v>
      </c>
      <c r="CQ149" s="399">
        <v>29</v>
      </c>
      <c r="CR149" s="399">
        <v>-1.5116647564713617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-0.1150708244437979</v>
      </c>
      <c r="DA149" s="399">
        <v>0</v>
      </c>
      <c r="DB149" s="399">
        <v>0</v>
      </c>
      <c r="DC149" s="399">
        <v>0</v>
      </c>
      <c r="DD149" s="399">
        <v>0</v>
      </c>
      <c r="DE149" s="399">
        <v>0</v>
      </c>
      <c r="DF149" s="399">
        <v>0</v>
      </c>
      <c r="DG149" s="399">
        <v>0</v>
      </c>
      <c r="DH149" s="399">
        <v>0</v>
      </c>
      <c r="DI149" s="399">
        <v>-1.2006310332280989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-0.16038469937814415</v>
      </c>
      <c r="DP149" s="399">
        <v>-3.5578199421322065E-2</v>
      </c>
      <c r="DQ149" s="399">
        <v>0</v>
      </c>
      <c r="DR149" s="399">
        <v>0</v>
      </c>
      <c r="DS149" s="399"/>
      <c r="DT149" s="399"/>
      <c r="DU149" s="399"/>
      <c r="DV149" s="399">
        <v>101.8725897327658</v>
      </c>
      <c r="DW149" s="399">
        <v>0</v>
      </c>
      <c r="DX149" s="399">
        <v>0</v>
      </c>
      <c r="DY149" s="399">
        <v>-19.614000000000019</v>
      </c>
      <c r="DZ149" s="399">
        <v>0</v>
      </c>
      <c r="EA149" s="399">
        <v>0</v>
      </c>
      <c r="EB149" s="399">
        <v>0</v>
      </c>
      <c r="EC149" s="399">
        <v>-18.102144684701599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229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954</v>
      </c>
      <c r="C150" s="399" t="s">
        <v>2344</v>
      </c>
      <c r="D150" s="399" t="s">
        <v>533</v>
      </c>
      <c r="E150" s="399" t="s">
        <v>888</v>
      </c>
      <c r="F150" s="399" t="s">
        <v>1237</v>
      </c>
      <c r="G150" s="399" t="s">
        <v>1237</v>
      </c>
      <c r="H150" s="399" t="s">
        <v>1237</v>
      </c>
      <c r="I150" s="399" t="s">
        <v>891</v>
      </c>
      <c r="J150" s="399" t="s">
        <v>2337</v>
      </c>
      <c r="K150" s="788">
        <v>44593</v>
      </c>
      <c r="L150" s="399">
        <v>0</v>
      </c>
      <c r="M150" s="399">
        <v>0</v>
      </c>
      <c r="N150" s="399">
        <v>93.611999999999995</v>
      </c>
      <c r="O150" s="399">
        <v>93.611999999999995</v>
      </c>
      <c r="P150" s="399">
        <v>93.611999999999995</v>
      </c>
      <c r="Q150" s="399">
        <v>93.611999999999995</v>
      </c>
      <c r="R150" s="399"/>
      <c r="S150" s="399">
        <v>3312.96</v>
      </c>
      <c r="T150" s="399">
        <v>119.97</v>
      </c>
      <c r="U150" s="399"/>
      <c r="V150" s="399">
        <v>321363.44315999997</v>
      </c>
      <c r="W150" s="399">
        <v>321363.44315999997</v>
      </c>
      <c r="X150" s="399">
        <v>278945.97371999995</v>
      </c>
      <c r="Y150" s="399">
        <v>0</v>
      </c>
      <c r="Z150" s="399">
        <v>4959.4275763484311</v>
      </c>
      <c r="AA150" s="399">
        <v>0</v>
      </c>
      <c r="AB150" s="399">
        <v>0</v>
      </c>
      <c r="AC150" s="399">
        <v>0</v>
      </c>
      <c r="AD150" s="399">
        <v>69987.982488367576</v>
      </c>
      <c r="AE150" s="399">
        <v>233392.57818602223</v>
      </c>
      <c r="AF150" s="399">
        <v>11230.991350993196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880.91006777987559</v>
      </c>
      <c r="AM150" s="399"/>
      <c r="AN150" s="399">
        <v>78.702603286864132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833.50696326859315</v>
      </c>
      <c r="BH150" s="399">
        <v>0</v>
      </c>
      <c r="BI150" s="399">
        <v>0</v>
      </c>
      <c r="BJ150" s="399">
        <v>0</v>
      </c>
      <c r="BK150" s="399">
        <v>0</v>
      </c>
      <c r="BL150" s="399">
        <v>0</v>
      </c>
      <c r="BM150" s="399"/>
      <c r="BN150" s="399"/>
      <c r="BO150" s="399"/>
      <c r="BP150" s="399"/>
      <c r="BQ150" s="399"/>
      <c r="BR150" s="399"/>
      <c r="BS150" s="399"/>
      <c r="BT150" s="399"/>
      <c r="BU150" s="399"/>
      <c r="BV150" s="399">
        <v>12064.498314261789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278940.01409999997</v>
      </c>
      <c r="CJ150" s="399">
        <v>-42423.459060000023</v>
      </c>
      <c r="CK150" s="399"/>
      <c r="CL150" s="399"/>
      <c r="CM150" s="399"/>
      <c r="CN150" s="399"/>
      <c r="CO150" s="399">
        <v>-42417.469439999986</v>
      </c>
      <c r="CP150" s="399">
        <v>0</v>
      </c>
      <c r="CQ150" s="399">
        <v>29</v>
      </c>
      <c r="CR150" s="399">
        <v>-944.93748479743954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-374.44829592999304</v>
      </c>
      <c r="DA150" s="399">
        <v>0</v>
      </c>
      <c r="DB150" s="399">
        <v>0</v>
      </c>
      <c r="DC150" s="399">
        <v>0</v>
      </c>
      <c r="DD150" s="399">
        <v>0</v>
      </c>
      <c r="DE150" s="399">
        <v>0</v>
      </c>
      <c r="DF150" s="399">
        <v>0</v>
      </c>
      <c r="DG150" s="399">
        <v>0</v>
      </c>
      <c r="DH150" s="399">
        <v>0</v>
      </c>
      <c r="DI150" s="399">
        <v>-488.91160442908404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-75.069662390934127</v>
      </c>
      <c r="DP150" s="399">
        <v>-6.5079220474292327</v>
      </c>
      <c r="DQ150" s="399">
        <v>0</v>
      </c>
      <c r="DR150" s="399">
        <v>0</v>
      </c>
      <c r="DS150" s="399"/>
      <c r="DT150" s="399"/>
      <c r="DU150" s="399"/>
      <c r="DV150" s="399">
        <v>233392.57818602223</v>
      </c>
      <c r="DW150" s="399">
        <v>0</v>
      </c>
      <c r="DX150" s="399">
        <v>0</v>
      </c>
      <c r="DY150" s="399">
        <v>-42417.469440000015</v>
      </c>
      <c r="DZ150" s="399">
        <v>0</v>
      </c>
      <c r="EA150" s="399">
        <v>0</v>
      </c>
      <c r="EB150" s="399">
        <v>0</v>
      </c>
      <c r="EC150" s="399">
        <v>-41472.453284457937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229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2339</v>
      </c>
      <c r="C151" s="399" t="s">
        <v>2344</v>
      </c>
      <c r="D151" s="399" t="s">
        <v>533</v>
      </c>
      <c r="E151" s="399" t="s">
        <v>888</v>
      </c>
      <c r="F151" s="399" t="s">
        <v>1237</v>
      </c>
      <c r="G151" s="399" t="s">
        <v>1237</v>
      </c>
      <c r="H151" s="399" t="s">
        <v>1237</v>
      </c>
      <c r="I151" s="399" t="s">
        <v>891</v>
      </c>
      <c r="J151" s="399" t="s">
        <v>2337</v>
      </c>
      <c r="K151" s="788">
        <v>44593</v>
      </c>
      <c r="L151" s="399">
        <v>0</v>
      </c>
      <c r="M151" s="399">
        <v>0</v>
      </c>
      <c r="N151" s="399">
        <v>2.6560000000000001</v>
      </c>
      <c r="O151" s="399">
        <v>2.6560000000000001</v>
      </c>
      <c r="P151" s="399">
        <v>2.6560000000000001</v>
      </c>
      <c r="Q151" s="399">
        <v>2.6560000000000001</v>
      </c>
      <c r="R151" s="399"/>
      <c r="S151" s="399">
        <v>3312.96</v>
      </c>
      <c r="T151" s="399">
        <v>119.97</v>
      </c>
      <c r="U151" s="399"/>
      <c r="V151" s="399">
        <v>9117.8620800000008</v>
      </c>
      <c r="W151" s="399">
        <v>9117.8620800000008</v>
      </c>
      <c r="X151" s="399">
        <v>7914.3753600000009</v>
      </c>
      <c r="Y151" s="399">
        <v>0</v>
      </c>
      <c r="Z151" s="399">
        <v>140.71101613875823</v>
      </c>
      <c r="AA151" s="399">
        <v>0</v>
      </c>
      <c r="AB151" s="399">
        <v>0</v>
      </c>
      <c r="AC151" s="399">
        <v>0</v>
      </c>
      <c r="AD151" s="399">
        <v>1985.7291959268503</v>
      </c>
      <c r="AE151" s="399">
        <v>6621.9147936383706</v>
      </c>
      <c r="AF151" s="399">
        <v>318.65052587529306</v>
      </c>
      <c r="AG151" s="399">
        <v>0</v>
      </c>
      <c r="AH151" s="399">
        <v>0</v>
      </c>
      <c r="AI151" s="399">
        <v>0</v>
      </c>
      <c r="AJ151" s="399">
        <v>0</v>
      </c>
      <c r="AK151" s="399">
        <v>0</v>
      </c>
      <c r="AL151" s="399">
        <v>24.993560013922892</v>
      </c>
      <c r="AM151" s="399"/>
      <c r="AN151" s="399">
        <v>2.232984172220561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23.648618707445451</v>
      </c>
      <c r="BH151" s="399">
        <v>0</v>
      </c>
      <c r="BI151" s="399">
        <v>0</v>
      </c>
      <c r="BJ151" s="399">
        <v>0</v>
      </c>
      <c r="BK151" s="399">
        <v>0</v>
      </c>
      <c r="BL151" s="399">
        <v>0</v>
      </c>
      <c r="BM151" s="399"/>
      <c r="BN151" s="399"/>
      <c r="BO151" s="399"/>
      <c r="BP151" s="399"/>
      <c r="BQ151" s="399"/>
      <c r="BR151" s="399"/>
      <c r="BS151" s="399"/>
      <c r="BT151" s="399"/>
      <c r="BU151" s="399"/>
      <c r="BV151" s="399">
        <v>342.29914458273851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7926.2946000000011</v>
      </c>
      <c r="CJ151" s="399">
        <v>-1191.5974800000004</v>
      </c>
      <c r="CK151" s="399"/>
      <c r="CL151" s="399"/>
      <c r="CM151" s="399"/>
      <c r="CN151" s="399"/>
      <c r="CO151" s="399">
        <v>-1203.4867199999999</v>
      </c>
      <c r="CP151" s="399">
        <v>0</v>
      </c>
      <c r="CQ151" s="399">
        <v>29</v>
      </c>
      <c r="CR151" s="399">
        <v>-26.81017347799434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-10.624008396253203</v>
      </c>
      <c r="DA151" s="399">
        <v>0</v>
      </c>
      <c r="DB151" s="399">
        <v>0</v>
      </c>
      <c r="DC151" s="399">
        <v>0</v>
      </c>
      <c r="DD151" s="399">
        <v>0</v>
      </c>
      <c r="DE151" s="399">
        <v>0</v>
      </c>
      <c r="DF151" s="399">
        <v>0</v>
      </c>
      <c r="DG151" s="399">
        <v>0</v>
      </c>
      <c r="DH151" s="399">
        <v>0</v>
      </c>
      <c r="DI151" s="399">
        <v>-13.871610705504068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-2.129908807741753</v>
      </c>
      <c r="DP151" s="399">
        <v>-0.18464556849519331</v>
      </c>
      <c r="DQ151" s="399">
        <v>0</v>
      </c>
      <c r="DR151" s="399">
        <v>0</v>
      </c>
      <c r="DS151" s="399"/>
      <c r="DT151" s="399"/>
      <c r="DU151" s="399"/>
      <c r="DV151" s="399">
        <v>6621.9147936383706</v>
      </c>
      <c r="DW151" s="399">
        <v>0</v>
      </c>
      <c r="DX151" s="399">
        <v>0</v>
      </c>
      <c r="DY151" s="399">
        <v>-1203.4867199999999</v>
      </c>
      <c r="DZ151" s="399">
        <v>0</v>
      </c>
      <c r="EA151" s="399">
        <v>0</v>
      </c>
      <c r="EB151" s="399">
        <v>0</v>
      </c>
      <c r="EC151" s="399">
        <v>-1176.6743144417414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229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954</v>
      </c>
      <c r="C152" s="399" t="s">
        <v>2344</v>
      </c>
      <c r="D152" s="399" t="s">
        <v>533</v>
      </c>
      <c r="E152" s="399" t="s">
        <v>888</v>
      </c>
      <c r="F152" s="399" t="s">
        <v>1237</v>
      </c>
      <c r="G152" s="399" t="s">
        <v>1237</v>
      </c>
      <c r="H152" s="399" t="s">
        <v>1237</v>
      </c>
      <c r="I152" s="399" t="s">
        <v>2322</v>
      </c>
      <c r="J152" s="399" t="s">
        <v>2337</v>
      </c>
      <c r="K152" s="788">
        <v>44593</v>
      </c>
      <c r="L152" s="399">
        <v>0</v>
      </c>
      <c r="M152" s="399">
        <v>0</v>
      </c>
      <c r="N152" s="399">
        <v>2134.518</v>
      </c>
      <c r="O152" s="399">
        <v>2134.518</v>
      </c>
      <c r="P152" s="399">
        <v>2134.518</v>
      </c>
      <c r="Q152" s="399">
        <v>2134.518</v>
      </c>
      <c r="R152" s="399"/>
      <c r="S152" s="399">
        <v>72.13</v>
      </c>
      <c r="T152" s="399">
        <v>119.97</v>
      </c>
      <c r="U152" s="399"/>
      <c r="V152" s="399">
        <v>410040.90779999999</v>
      </c>
      <c r="W152" s="399">
        <v>410040.90779999999</v>
      </c>
      <c r="X152" s="399">
        <v>397041.69318</v>
      </c>
      <c r="Y152" s="399">
        <v>0</v>
      </c>
      <c r="Z152" s="399">
        <v>113083.65841358055</v>
      </c>
      <c r="AA152" s="399">
        <v>0</v>
      </c>
      <c r="AB152" s="399">
        <v>0</v>
      </c>
      <c r="AC152" s="399">
        <v>0</v>
      </c>
      <c r="AD152" s="399">
        <v>0</v>
      </c>
      <c r="AE152" s="399">
        <v>0</v>
      </c>
      <c r="AF152" s="399">
        <v>256086.32650236398</v>
      </c>
      <c r="AG152" s="399">
        <v>0</v>
      </c>
      <c r="AH152" s="399">
        <v>0</v>
      </c>
      <c r="AI152" s="399">
        <v>0</v>
      </c>
      <c r="AJ152" s="399">
        <v>0</v>
      </c>
      <c r="AK152" s="399">
        <v>0</v>
      </c>
      <c r="AL152" s="399">
        <v>20086.296586520581</v>
      </c>
      <c r="AM152" s="399"/>
      <c r="AN152" s="399">
        <v>1794.5575712800778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19005.422555037294</v>
      </c>
      <c r="BH152" s="399">
        <v>0</v>
      </c>
      <c r="BI152" s="399">
        <v>0</v>
      </c>
      <c r="BJ152" s="399">
        <v>0</v>
      </c>
      <c r="BK152" s="399">
        <v>0</v>
      </c>
      <c r="BL152" s="399">
        <v>0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275091.74905740126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397042.06520000001</v>
      </c>
      <c r="CJ152" s="399">
        <v>-12998.872600000002</v>
      </c>
      <c r="CK152" s="399"/>
      <c r="CL152" s="399"/>
      <c r="CM152" s="399"/>
      <c r="CN152" s="399"/>
      <c r="CO152" s="399">
        <v>-12999.214619999977</v>
      </c>
      <c r="CP152" s="399">
        <v>0</v>
      </c>
      <c r="CQ152" s="399">
        <v>29</v>
      </c>
      <c r="CR152" s="399">
        <v>-13008.155390793516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0</v>
      </c>
      <c r="DA152" s="399">
        <v>0</v>
      </c>
      <c r="DB152" s="399">
        <v>0</v>
      </c>
      <c r="DC152" s="399">
        <v>0</v>
      </c>
      <c r="DD152" s="399">
        <v>0</v>
      </c>
      <c r="DE152" s="399">
        <v>0</v>
      </c>
      <c r="DF152" s="399">
        <v>0</v>
      </c>
      <c r="DG152" s="399">
        <v>0</v>
      </c>
      <c r="DH152" s="399">
        <v>0</v>
      </c>
      <c r="DI152" s="399">
        <v>-11148.043200260217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-1711.7201387361856</v>
      </c>
      <c r="DP152" s="399">
        <v>-148.39205179714691</v>
      </c>
      <c r="DQ152" s="399">
        <v>0</v>
      </c>
      <c r="DR152" s="399">
        <v>0</v>
      </c>
      <c r="DS152" s="399"/>
      <c r="DT152" s="399"/>
      <c r="DU152" s="399"/>
      <c r="DV152" s="399">
        <v>0</v>
      </c>
      <c r="DW152" s="399">
        <v>0</v>
      </c>
      <c r="DX152" s="399">
        <v>0</v>
      </c>
      <c r="DY152" s="399">
        <v>-12999.214619999984</v>
      </c>
      <c r="DZ152" s="399">
        <v>0</v>
      </c>
      <c r="EA152" s="399">
        <v>0</v>
      </c>
      <c r="EB152" s="399">
        <v>0</v>
      </c>
      <c r="EC152" s="399">
        <v>0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229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2339</v>
      </c>
      <c r="C153" s="399" t="s">
        <v>2344</v>
      </c>
      <c r="D153" s="399" t="s">
        <v>533</v>
      </c>
      <c r="E153" s="399" t="s">
        <v>888</v>
      </c>
      <c r="F153" s="399" t="s">
        <v>1237</v>
      </c>
      <c r="G153" s="399" t="s">
        <v>1237</v>
      </c>
      <c r="H153" s="399" t="s">
        <v>1237</v>
      </c>
      <c r="I153" s="399" t="s">
        <v>2322</v>
      </c>
      <c r="J153" s="399" t="s">
        <v>2337</v>
      </c>
      <c r="K153" s="788">
        <v>44593</v>
      </c>
      <c r="L153" s="399">
        <v>0</v>
      </c>
      <c r="M153" s="399">
        <v>0</v>
      </c>
      <c r="N153" s="399">
        <v>8.0820000000000007</v>
      </c>
      <c r="O153" s="399">
        <v>8.0820000000000007</v>
      </c>
      <c r="P153" s="399">
        <v>8.0820000000000007</v>
      </c>
      <c r="Q153" s="399">
        <v>8.0820000000000007</v>
      </c>
      <c r="R153" s="399"/>
      <c r="S153" s="399">
        <v>72.13</v>
      </c>
      <c r="T153" s="399">
        <v>119.97</v>
      </c>
      <c r="U153" s="399"/>
      <c r="V153" s="399">
        <v>1552.5522000000001</v>
      </c>
      <c r="W153" s="399">
        <v>1552.5522000000001</v>
      </c>
      <c r="X153" s="399">
        <v>1503.3328200000001</v>
      </c>
      <c r="Y153" s="399">
        <v>0</v>
      </c>
      <c r="Z153" s="399">
        <v>428.17260257283283</v>
      </c>
      <c r="AA153" s="399">
        <v>0</v>
      </c>
      <c r="AB153" s="399">
        <v>0</v>
      </c>
      <c r="AC153" s="399">
        <v>0</v>
      </c>
      <c r="AD153" s="399">
        <v>0</v>
      </c>
      <c r="AE153" s="399">
        <v>0</v>
      </c>
      <c r="AF153" s="399">
        <v>969.62859567926148</v>
      </c>
      <c r="AG153" s="399">
        <v>0</v>
      </c>
      <c r="AH153" s="399">
        <v>0</v>
      </c>
      <c r="AI153" s="399">
        <v>0</v>
      </c>
      <c r="AJ153" s="399">
        <v>0</v>
      </c>
      <c r="AK153" s="399">
        <v>0</v>
      </c>
      <c r="AL153" s="399">
        <v>76.053445795378323</v>
      </c>
      <c r="AM153" s="399"/>
      <c r="AN153" s="399">
        <v>6.7947959638127156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71.960894726496292</v>
      </c>
      <c r="BH153" s="399">
        <v>0</v>
      </c>
      <c r="BI153" s="399">
        <v>0</v>
      </c>
      <c r="BJ153" s="399">
        <v>0</v>
      </c>
      <c r="BK153" s="399">
        <v>0</v>
      </c>
      <c r="BL153" s="399">
        <v>0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1041.5894904057577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1502.9608000000001</v>
      </c>
      <c r="CJ153" s="399">
        <v>-49.621399999999994</v>
      </c>
      <c r="CK153" s="399"/>
      <c r="CL153" s="399"/>
      <c r="CM153" s="399"/>
      <c r="CN153" s="399"/>
      <c r="CO153" s="399">
        <v>-49.219379999999916</v>
      </c>
      <c r="CP153" s="399">
        <v>0</v>
      </c>
      <c r="CQ153" s="399">
        <v>29</v>
      </c>
      <c r="CR153" s="399">
        <v>-49.253232752496615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0</v>
      </c>
      <c r="DA153" s="399">
        <v>0</v>
      </c>
      <c r="DB153" s="399">
        <v>0</v>
      </c>
      <c r="DC153" s="399">
        <v>0</v>
      </c>
      <c r="DD153" s="399">
        <v>0</v>
      </c>
      <c r="DE153" s="399">
        <v>0</v>
      </c>
      <c r="DF153" s="399">
        <v>0</v>
      </c>
      <c r="DG153" s="399">
        <v>0</v>
      </c>
      <c r="DH153" s="399">
        <v>0</v>
      </c>
      <c r="DI153" s="399">
        <v>-42.210225045890013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-6.4811457018708012</v>
      </c>
      <c r="DP153" s="399">
        <v>-0.56186200473574921</v>
      </c>
      <c r="DQ153" s="399">
        <v>0</v>
      </c>
      <c r="DR153" s="399">
        <v>0</v>
      </c>
      <c r="DS153" s="399"/>
      <c r="DT153" s="399"/>
      <c r="DU153" s="399"/>
      <c r="DV153" s="399">
        <v>0</v>
      </c>
      <c r="DW153" s="399">
        <v>0</v>
      </c>
      <c r="DX153" s="399">
        <v>0</v>
      </c>
      <c r="DY153" s="399">
        <v>-49.219379999999887</v>
      </c>
      <c r="DZ153" s="399">
        <v>0</v>
      </c>
      <c r="EA153" s="399">
        <v>0</v>
      </c>
      <c r="EB153" s="399">
        <v>0</v>
      </c>
      <c r="EC153" s="399">
        <v>0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229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954</v>
      </c>
      <c r="C154" s="399" t="s">
        <v>2344</v>
      </c>
      <c r="D154" s="399" t="s">
        <v>533</v>
      </c>
      <c r="E154" s="399" t="s">
        <v>888</v>
      </c>
      <c r="F154" s="399" t="s">
        <v>1237</v>
      </c>
      <c r="G154" s="399" t="s">
        <v>1237</v>
      </c>
      <c r="H154" s="399" t="s">
        <v>1237</v>
      </c>
      <c r="I154" s="399" t="s">
        <v>1237</v>
      </c>
      <c r="J154" s="399" t="s">
        <v>2337</v>
      </c>
      <c r="K154" s="788">
        <v>44593</v>
      </c>
      <c r="L154" s="399">
        <v>10722</v>
      </c>
      <c r="M154" s="399">
        <v>10722</v>
      </c>
      <c r="N154" s="399">
        <v>0</v>
      </c>
      <c r="O154" s="399">
        <v>0</v>
      </c>
      <c r="P154" s="399">
        <v>0</v>
      </c>
      <c r="Q154" s="399">
        <v>0</v>
      </c>
      <c r="R154" s="399">
        <v>46.29</v>
      </c>
      <c r="S154" s="399"/>
      <c r="T154" s="399"/>
      <c r="U154" s="399">
        <v>496321.38</v>
      </c>
      <c r="V154" s="399"/>
      <c r="W154" s="399">
        <v>496321.38</v>
      </c>
      <c r="X154" s="399">
        <v>441210.3</v>
      </c>
      <c r="Y154" s="399">
        <v>0</v>
      </c>
      <c r="Z154" s="399">
        <v>0</v>
      </c>
      <c r="AA154" s="399">
        <v>0</v>
      </c>
      <c r="AB154" s="399">
        <v>0</v>
      </c>
      <c r="AC154" s="399">
        <v>0</v>
      </c>
      <c r="AD154" s="399">
        <v>192063.31866883748</v>
      </c>
      <c r="AE154" s="399">
        <v>304219.89833317668</v>
      </c>
      <c r="AF154" s="399"/>
      <c r="AG154" s="399"/>
      <c r="AH154" s="399"/>
      <c r="AI154" s="399">
        <v>0</v>
      </c>
      <c r="AJ154" s="399">
        <v>0</v>
      </c>
      <c r="AK154" s="399">
        <v>0</v>
      </c>
      <c r="AL154" s="399">
        <v>0</v>
      </c>
      <c r="AM154" s="399"/>
      <c r="AN154" s="399">
        <v>0</v>
      </c>
      <c r="AO154" s="399">
        <v>0</v>
      </c>
      <c r="AP154" s="399">
        <v>0</v>
      </c>
      <c r="AQ154" s="399">
        <v>0</v>
      </c>
      <c r="AR154" s="399">
        <v>0</v>
      </c>
      <c r="AS154" s="399"/>
      <c r="AT154" s="399"/>
      <c r="AU154" s="399">
        <v>0</v>
      </c>
      <c r="AV154" s="399">
        <v>0</v>
      </c>
      <c r="AW154" s="399">
        <v>0</v>
      </c>
      <c r="AX154" s="399"/>
      <c r="AY154" s="399"/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/>
      <c r="BG154" s="399">
        <v>0</v>
      </c>
      <c r="BH154" s="399">
        <v>0</v>
      </c>
      <c r="BI154" s="399">
        <v>0</v>
      </c>
      <c r="BJ154" s="399">
        <v>0</v>
      </c>
      <c r="BK154" s="399">
        <v>472006.78</v>
      </c>
      <c r="BL154" s="399">
        <v>26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0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441210.3</v>
      </c>
      <c r="CJ154" s="399">
        <v>-55111.110000000044</v>
      </c>
      <c r="CK154" s="399"/>
      <c r="CL154" s="399"/>
      <c r="CM154" s="399"/>
      <c r="CN154" s="399"/>
      <c r="CO154" s="399">
        <v>-55111.080000000009</v>
      </c>
      <c r="CP154" s="399">
        <v>0</v>
      </c>
      <c r="CQ154" s="399">
        <v>29</v>
      </c>
      <c r="CR154" s="399">
        <v>-1027.5733037193713</v>
      </c>
      <c r="CS154" s="399">
        <v>0</v>
      </c>
      <c r="CT154" s="399">
        <v>0</v>
      </c>
      <c r="CU154" s="399">
        <v>0</v>
      </c>
      <c r="CV154" s="399">
        <v>0</v>
      </c>
      <c r="CW154" s="399"/>
      <c r="CX154" s="399"/>
      <c r="CY154" s="399"/>
      <c r="CZ154" s="399">
        <v>-1027.5733037193713</v>
      </c>
      <c r="DA154" s="399">
        <v>0</v>
      </c>
      <c r="DB154" s="399">
        <v>0</v>
      </c>
      <c r="DC154" s="399"/>
      <c r="DD154" s="399"/>
      <c r="DE154" s="399">
        <v>0</v>
      </c>
      <c r="DF154" s="399">
        <v>0</v>
      </c>
      <c r="DG154" s="399">
        <v>0</v>
      </c>
      <c r="DH154" s="399">
        <v>0</v>
      </c>
      <c r="DI154" s="399">
        <v>0</v>
      </c>
      <c r="DJ154" s="399"/>
      <c r="DK154" s="399">
        <v>0</v>
      </c>
      <c r="DL154" s="399">
        <v>0</v>
      </c>
      <c r="DM154" s="399"/>
      <c r="DN154" s="399">
        <v>0</v>
      </c>
      <c r="DO154" s="399">
        <v>0</v>
      </c>
      <c r="DP154" s="399">
        <v>0</v>
      </c>
      <c r="DQ154" s="399">
        <v>0</v>
      </c>
      <c r="DR154" s="399">
        <v>0</v>
      </c>
      <c r="DS154" s="399"/>
      <c r="DT154" s="399"/>
      <c r="DU154" s="399">
        <v>304219.89833317668</v>
      </c>
      <c r="DV154" s="399"/>
      <c r="DW154" s="399">
        <v>0</v>
      </c>
      <c r="DX154" s="399">
        <v>0</v>
      </c>
      <c r="DY154" s="399">
        <v>-55111.080000000016</v>
      </c>
      <c r="DZ154" s="399"/>
      <c r="EA154" s="399">
        <v>0</v>
      </c>
      <c r="EB154" s="399"/>
      <c r="EC154" s="399">
        <v>-54058.040833540785</v>
      </c>
      <c r="ED154" s="399"/>
      <c r="EE154" s="399">
        <v>0</v>
      </c>
      <c r="EF154" s="399">
        <v>0</v>
      </c>
      <c r="EG154" s="399"/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/>
      <c r="EN154" s="399"/>
      <c r="EO154" s="399">
        <v>0</v>
      </c>
      <c r="EP154" s="399">
        <v>0</v>
      </c>
      <c r="EQ154" s="399"/>
      <c r="ER154" s="399">
        <v>0</v>
      </c>
      <c r="ES154" s="399"/>
      <c r="ET154" s="399">
        <v>0</v>
      </c>
      <c r="EU154" s="399"/>
      <c r="EV154" s="399">
        <v>229</v>
      </c>
      <c r="EW154" s="399"/>
      <c r="EX154" s="399"/>
      <c r="EY154" s="399"/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2339</v>
      </c>
      <c r="C155" s="399" t="s">
        <v>2344</v>
      </c>
      <c r="D155" s="399" t="s">
        <v>533</v>
      </c>
      <c r="E155" s="399" t="s">
        <v>888</v>
      </c>
      <c r="F155" s="399" t="s">
        <v>1237</v>
      </c>
      <c r="G155" s="399" t="s">
        <v>1237</v>
      </c>
      <c r="H155" s="399" t="s">
        <v>1237</v>
      </c>
      <c r="I155" s="399" t="s">
        <v>1237</v>
      </c>
      <c r="J155" s="399" t="s">
        <v>2337</v>
      </c>
      <c r="K155" s="788">
        <v>44593</v>
      </c>
      <c r="L155" s="399">
        <v>100</v>
      </c>
      <c r="M155" s="399">
        <v>100</v>
      </c>
      <c r="N155" s="399">
        <v>0</v>
      </c>
      <c r="O155" s="399">
        <v>0</v>
      </c>
      <c r="P155" s="399">
        <v>0</v>
      </c>
      <c r="Q155" s="399">
        <v>0</v>
      </c>
      <c r="R155" s="399">
        <v>46.29</v>
      </c>
      <c r="S155" s="399"/>
      <c r="T155" s="399"/>
      <c r="U155" s="399">
        <v>4629</v>
      </c>
      <c r="V155" s="399"/>
      <c r="W155" s="399">
        <v>4629</v>
      </c>
      <c r="X155" s="399">
        <v>4115</v>
      </c>
      <c r="Y155" s="399">
        <v>0</v>
      </c>
      <c r="Z155" s="399">
        <v>0</v>
      </c>
      <c r="AA155" s="399">
        <v>0</v>
      </c>
      <c r="AB155" s="399">
        <v>0</v>
      </c>
      <c r="AC155" s="399">
        <v>0</v>
      </c>
      <c r="AD155" s="399">
        <v>1791.3012373515901</v>
      </c>
      <c r="AE155" s="399">
        <v>2837.3428309380402</v>
      </c>
      <c r="AF155" s="399"/>
      <c r="AG155" s="399"/>
      <c r="AH155" s="399"/>
      <c r="AI155" s="399">
        <v>0</v>
      </c>
      <c r="AJ155" s="399">
        <v>0</v>
      </c>
      <c r="AK155" s="399">
        <v>0</v>
      </c>
      <c r="AL155" s="399">
        <v>0</v>
      </c>
      <c r="AM155" s="399"/>
      <c r="AN155" s="399">
        <v>0</v>
      </c>
      <c r="AO155" s="399">
        <v>0</v>
      </c>
      <c r="AP155" s="399">
        <v>0</v>
      </c>
      <c r="AQ155" s="399">
        <v>0</v>
      </c>
      <c r="AR155" s="399">
        <v>0</v>
      </c>
      <c r="AS155" s="399"/>
      <c r="AT155" s="399"/>
      <c r="AU155" s="399">
        <v>0</v>
      </c>
      <c r="AV155" s="399">
        <v>0</v>
      </c>
      <c r="AW155" s="399">
        <v>0</v>
      </c>
      <c r="AX155" s="399"/>
      <c r="AY155" s="399"/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/>
      <c r="BG155" s="399">
        <v>0</v>
      </c>
      <c r="BH155" s="399">
        <v>0</v>
      </c>
      <c r="BI155" s="399">
        <v>0</v>
      </c>
      <c r="BJ155" s="399">
        <v>0</v>
      </c>
      <c r="BK155" s="399">
        <v>4735.1499999999996</v>
      </c>
      <c r="BL155" s="399">
        <v>1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>
        <v>0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4115</v>
      </c>
      <c r="CJ155" s="399">
        <v>-514.03000000000065</v>
      </c>
      <c r="CK155" s="399"/>
      <c r="CL155" s="399"/>
      <c r="CM155" s="399"/>
      <c r="CN155" s="399"/>
      <c r="CO155" s="399">
        <v>-514</v>
      </c>
      <c r="CP155" s="399">
        <v>0</v>
      </c>
      <c r="CQ155" s="399">
        <v>29</v>
      </c>
      <c r="CR155" s="399">
        <v>-9.5837838436800666</v>
      </c>
      <c r="CS155" s="399">
        <v>0</v>
      </c>
      <c r="CT155" s="399">
        <v>0</v>
      </c>
      <c r="CU155" s="399">
        <v>0</v>
      </c>
      <c r="CV155" s="399">
        <v>0</v>
      </c>
      <c r="CW155" s="399"/>
      <c r="CX155" s="399"/>
      <c r="CY155" s="399"/>
      <c r="CZ155" s="399">
        <v>-9.5837838436800666</v>
      </c>
      <c r="DA155" s="399">
        <v>0</v>
      </c>
      <c r="DB155" s="399">
        <v>0</v>
      </c>
      <c r="DC155" s="399"/>
      <c r="DD155" s="399"/>
      <c r="DE155" s="399">
        <v>0</v>
      </c>
      <c r="DF155" s="399">
        <v>0</v>
      </c>
      <c r="DG155" s="399">
        <v>0</v>
      </c>
      <c r="DH155" s="399">
        <v>0</v>
      </c>
      <c r="DI155" s="399">
        <v>0</v>
      </c>
      <c r="DJ155" s="399"/>
      <c r="DK155" s="399">
        <v>0</v>
      </c>
      <c r="DL155" s="399">
        <v>0</v>
      </c>
      <c r="DM155" s="399"/>
      <c r="DN155" s="399">
        <v>0</v>
      </c>
      <c r="DO155" s="399">
        <v>0</v>
      </c>
      <c r="DP155" s="399">
        <v>0</v>
      </c>
      <c r="DQ155" s="399">
        <v>0</v>
      </c>
      <c r="DR155" s="399">
        <v>0</v>
      </c>
      <c r="DS155" s="399"/>
      <c r="DT155" s="399"/>
      <c r="DU155" s="399">
        <v>2837.3428309380402</v>
      </c>
      <c r="DV155" s="399"/>
      <c r="DW155" s="399">
        <v>0</v>
      </c>
      <c r="DX155" s="399">
        <v>0</v>
      </c>
      <c r="DY155" s="399">
        <v>-514</v>
      </c>
      <c r="DZ155" s="399"/>
      <c r="EA155" s="399">
        <v>0</v>
      </c>
      <c r="EB155" s="399"/>
      <c r="EC155" s="399">
        <v>-504.17870577822032</v>
      </c>
      <c r="ED155" s="399"/>
      <c r="EE155" s="399">
        <v>0</v>
      </c>
      <c r="EF155" s="399">
        <v>0</v>
      </c>
      <c r="EG155" s="399"/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/>
      <c r="EN155" s="399"/>
      <c r="EO155" s="399">
        <v>0</v>
      </c>
      <c r="EP155" s="399">
        <v>0</v>
      </c>
      <c r="EQ155" s="399"/>
      <c r="ER155" s="399">
        <v>0</v>
      </c>
      <c r="ES155" s="399"/>
      <c r="ET155" s="399">
        <v>0</v>
      </c>
      <c r="EU155" s="399"/>
      <c r="EV155" s="399">
        <v>229</v>
      </c>
      <c r="EW155" s="399"/>
      <c r="EX155" s="399"/>
      <c r="EY155" s="399"/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954</v>
      </c>
      <c r="C156" s="399" t="s">
        <v>2345</v>
      </c>
      <c r="D156" s="399" t="s">
        <v>1822</v>
      </c>
      <c r="E156" s="399" t="s">
        <v>888</v>
      </c>
      <c r="F156" s="399" t="s">
        <v>1237</v>
      </c>
      <c r="G156" s="399" t="s">
        <v>1237</v>
      </c>
      <c r="H156" s="399" t="s">
        <v>1237</v>
      </c>
      <c r="I156" s="399" t="s">
        <v>891</v>
      </c>
      <c r="J156" s="399" t="s">
        <v>2337</v>
      </c>
      <c r="K156" s="788">
        <v>44593</v>
      </c>
      <c r="L156" s="399">
        <v>0</v>
      </c>
      <c r="M156" s="399">
        <v>0</v>
      </c>
      <c r="N156" s="399">
        <v>7.1999999999999995E-2</v>
      </c>
      <c r="O156" s="399">
        <v>7.1999999999999995E-2</v>
      </c>
      <c r="P156" s="399">
        <v>7.1999999999999995E-2</v>
      </c>
      <c r="Q156" s="399">
        <v>7.1999999999999995E-2</v>
      </c>
      <c r="R156" s="399"/>
      <c r="S156" s="399">
        <v>2187.66</v>
      </c>
      <c r="T156" s="399">
        <v>119.97</v>
      </c>
      <c r="U156" s="399"/>
      <c r="V156" s="399">
        <v>166.14936</v>
      </c>
      <c r="W156" s="399">
        <v>166.14936</v>
      </c>
      <c r="X156" s="399">
        <v>143.3484</v>
      </c>
      <c r="Y156" s="399">
        <v>0</v>
      </c>
      <c r="Z156" s="399">
        <v>4.3844313296247908</v>
      </c>
      <c r="AA156" s="399">
        <v>0</v>
      </c>
      <c r="AB156" s="399">
        <v>0</v>
      </c>
      <c r="AC156" s="399">
        <v>0</v>
      </c>
      <c r="AD156" s="399">
        <v>26.322957704918085</v>
      </c>
      <c r="AE156" s="399">
        <v>124.69203619320022</v>
      </c>
      <c r="AF156" s="399">
        <v>8.6381166652940866</v>
      </c>
      <c r="AG156" s="399">
        <v>0</v>
      </c>
      <c r="AH156" s="399">
        <v>0</v>
      </c>
      <c r="AI156" s="399">
        <v>0</v>
      </c>
      <c r="AJ156" s="399">
        <v>0</v>
      </c>
      <c r="AK156" s="399">
        <v>0</v>
      </c>
      <c r="AL156" s="399">
        <v>0.67753626543766876</v>
      </c>
      <c r="AM156" s="399"/>
      <c r="AN156" s="399">
        <v>0.1548935100868932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1.2796137724630463</v>
      </c>
      <c r="BH156" s="399">
        <v>0</v>
      </c>
      <c r="BI156" s="399">
        <v>0</v>
      </c>
      <c r="BJ156" s="399">
        <v>0</v>
      </c>
      <c r="BK156" s="399">
        <v>0</v>
      </c>
      <c r="BL156" s="399">
        <v>0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>
        <v>9.9177304377571325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139.3665</v>
      </c>
      <c r="CJ156" s="399">
        <v>-26.812859999999972</v>
      </c>
      <c r="CK156" s="399"/>
      <c r="CL156" s="399"/>
      <c r="CM156" s="399"/>
      <c r="CN156" s="399"/>
      <c r="CO156" s="399">
        <v>-22.800959999999986</v>
      </c>
      <c r="CP156" s="399">
        <v>0</v>
      </c>
      <c r="CQ156" s="399">
        <v>29</v>
      </c>
      <c r="CR156" s="399">
        <v>-0.64360637429218315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-0.1408325587622663</v>
      </c>
      <c r="DA156" s="399">
        <v>0</v>
      </c>
      <c r="DB156" s="399">
        <v>0</v>
      </c>
      <c r="DC156" s="399">
        <v>0</v>
      </c>
      <c r="DD156" s="399">
        <v>0</v>
      </c>
      <c r="DE156" s="399">
        <v>0</v>
      </c>
      <c r="DF156" s="399">
        <v>0</v>
      </c>
      <c r="DG156" s="399">
        <v>0</v>
      </c>
      <c r="DH156" s="399">
        <v>0</v>
      </c>
      <c r="DI156" s="399">
        <v>-0.4322271719621158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-5.7738491776131995E-2</v>
      </c>
      <c r="DP156" s="399">
        <v>-1.2808151791675937E-2</v>
      </c>
      <c r="DQ156" s="399">
        <v>0</v>
      </c>
      <c r="DR156" s="399">
        <v>0</v>
      </c>
      <c r="DS156" s="399"/>
      <c r="DT156" s="399"/>
      <c r="DU156" s="399"/>
      <c r="DV156" s="399">
        <v>124.69203619320022</v>
      </c>
      <c r="DW156" s="399">
        <v>0</v>
      </c>
      <c r="DX156" s="399">
        <v>0</v>
      </c>
      <c r="DY156" s="399">
        <v>-22.800960000000003</v>
      </c>
      <c r="DZ156" s="399">
        <v>0</v>
      </c>
      <c r="EA156" s="399">
        <v>0</v>
      </c>
      <c r="EB156" s="399">
        <v>0</v>
      </c>
      <c r="EC156" s="399">
        <v>-22.157022670381437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229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954</v>
      </c>
      <c r="C157" s="399" t="s">
        <v>2345</v>
      </c>
      <c r="D157" s="399" t="s">
        <v>1822</v>
      </c>
      <c r="E157" s="399" t="s">
        <v>888</v>
      </c>
      <c r="F157" s="399" t="s">
        <v>1237</v>
      </c>
      <c r="G157" s="399" t="s">
        <v>1237</v>
      </c>
      <c r="H157" s="399" t="s">
        <v>1237</v>
      </c>
      <c r="I157" s="399" t="s">
        <v>2322</v>
      </c>
      <c r="J157" s="399" t="s">
        <v>2337</v>
      </c>
      <c r="K157" s="788">
        <v>44593</v>
      </c>
      <c r="L157" s="399">
        <v>0</v>
      </c>
      <c r="M157" s="399">
        <v>0</v>
      </c>
      <c r="N157" s="399">
        <v>34.11</v>
      </c>
      <c r="O157" s="399">
        <v>34.11</v>
      </c>
      <c r="P157" s="399">
        <v>34.11</v>
      </c>
      <c r="Q157" s="399">
        <v>34.11</v>
      </c>
      <c r="R157" s="399"/>
      <c r="S157" s="399">
        <v>509.72</v>
      </c>
      <c r="T157" s="399">
        <v>119.97</v>
      </c>
      <c r="U157" s="399"/>
      <c r="V157" s="399">
        <v>21478.725900000001</v>
      </c>
      <c r="W157" s="399">
        <v>21478.725900000001</v>
      </c>
      <c r="X157" s="399">
        <v>19127.5236</v>
      </c>
      <c r="Y157" s="399">
        <v>0</v>
      </c>
      <c r="Z157" s="399">
        <v>2077.1243424097447</v>
      </c>
      <c r="AA157" s="399">
        <v>0</v>
      </c>
      <c r="AB157" s="399">
        <v>0</v>
      </c>
      <c r="AC157" s="399">
        <v>0</v>
      </c>
      <c r="AD157" s="399">
        <v>2494.1002425409856</v>
      </c>
      <c r="AE157" s="399">
        <v>11814.580122021198</v>
      </c>
      <c r="AF157" s="399">
        <v>4092.3077701830739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320.98280575109555</v>
      </c>
      <c r="AM157" s="399"/>
      <c r="AN157" s="399">
        <v>73.38080040366566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606.21702470436821</v>
      </c>
      <c r="BH157" s="399">
        <v>0</v>
      </c>
      <c r="BI157" s="399">
        <v>0</v>
      </c>
      <c r="BJ157" s="399">
        <v>0</v>
      </c>
      <c r="BK157" s="399">
        <v>0</v>
      </c>
      <c r="BL157" s="399">
        <v>0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>
        <v>4698.5247948874421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19127.5236</v>
      </c>
      <c r="CJ157" s="399">
        <v>-2351.232299999996</v>
      </c>
      <c r="CK157" s="399"/>
      <c r="CL157" s="399"/>
      <c r="CM157" s="399"/>
      <c r="CN157" s="399"/>
      <c r="CO157" s="399">
        <v>-2351.2023000000004</v>
      </c>
      <c r="CP157" s="399">
        <v>0</v>
      </c>
      <c r="CQ157" s="399">
        <v>29</v>
      </c>
      <c r="CR157" s="399">
        <v>-251.53298005002216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-13.343884942721616</v>
      </c>
      <c r="DA157" s="399">
        <v>0</v>
      </c>
      <c r="DB157" s="399">
        <v>0</v>
      </c>
      <c r="DC157" s="399">
        <v>0</v>
      </c>
      <c r="DD157" s="399">
        <v>0</v>
      </c>
      <c r="DE157" s="399">
        <v>0</v>
      </c>
      <c r="DF157" s="399">
        <v>0</v>
      </c>
      <c r="DG157" s="399">
        <v>0</v>
      </c>
      <c r="DH157" s="399">
        <v>0</v>
      </c>
      <c r="DI157" s="399">
        <v>-204.76762271705229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-27.353610478942471</v>
      </c>
      <c r="DP157" s="399">
        <v>-6.0678619113064798</v>
      </c>
      <c r="DQ157" s="399">
        <v>0</v>
      </c>
      <c r="DR157" s="399">
        <v>0</v>
      </c>
      <c r="DS157" s="399"/>
      <c r="DT157" s="399"/>
      <c r="DU157" s="399"/>
      <c r="DV157" s="399">
        <v>11814.580122021198</v>
      </c>
      <c r="DW157" s="399">
        <v>0</v>
      </c>
      <c r="DX157" s="399">
        <v>0</v>
      </c>
      <c r="DY157" s="399">
        <v>-2351.2023000000008</v>
      </c>
      <c r="DZ157" s="399">
        <v>0</v>
      </c>
      <c r="EA157" s="399">
        <v>0</v>
      </c>
      <c r="EB157" s="399">
        <v>0</v>
      </c>
      <c r="EC157" s="399">
        <v>-2099.379620355714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229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954</v>
      </c>
      <c r="C158" s="399" t="s">
        <v>2345</v>
      </c>
      <c r="D158" s="399" t="s">
        <v>1822</v>
      </c>
      <c r="E158" s="399" t="s">
        <v>888</v>
      </c>
      <c r="F158" s="399" t="s">
        <v>1237</v>
      </c>
      <c r="G158" s="399" t="s">
        <v>1237</v>
      </c>
      <c r="H158" s="399" t="s">
        <v>1237</v>
      </c>
      <c r="I158" s="399" t="s">
        <v>1237</v>
      </c>
      <c r="J158" s="399" t="s">
        <v>2337</v>
      </c>
      <c r="K158" s="788">
        <v>44593</v>
      </c>
      <c r="L158" s="399">
        <v>0</v>
      </c>
      <c r="M158" s="399">
        <v>0</v>
      </c>
      <c r="N158" s="399">
        <v>0</v>
      </c>
      <c r="O158" s="399">
        <v>0</v>
      </c>
      <c r="P158" s="399">
        <v>0</v>
      </c>
      <c r="Q158" s="399">
        <v>0</v>
      </c>
      <c r="R158" s="399"/>
      <c r="S158" s="399"/>
      <c r="T158" s="399"/>
      <c r="U158" s="399"/>
      <c r="V158" s="399"/>
      <c r="W158" s="399"/>
      <c r="X158" s="399"/>
      <c r="Y158" s="399"/>
      <c r="Z158" s="399"/>
      <c r="AA158" s="399">
        <v>0</v>
      </c>
      <c r="AB158" s="399"/>
      <c r="AC158" s="399"/>
      <c r="AD158" s="399"/>
      <c r="AE158" s="399"/>
      <c r="AF158" s="399"/>
      <c r="AG158" s="399"/>
      <c r="AH158" s="399"/>
      <c r="AI158" s="399"/>
      <c r="AJ158" s="399"/>
      <c r="AK158" s="399"/>
      <c r="AL158" s="399"/>
      <c r="AM158" s="399"/>
      <c r="AN158" s="399"/>
      <c r="AO158" s="399"/>
      <c r="AP158" s="399"/>
      <c r="AQ158" s="399"/>
      <c r="AR158" s="399"/>
      <c r="AS158" s="399"/>
      <c r="AT158" s="399"/>
      <c r="AU158" s="399"/>
      <c r="AV158" s="399"/>
      <c r="AW158" s="399"/>
      <c r="AX158" s="399"/>
      <c r="AY158" s="399"/>
      <c r="AZ158" s="399">
        <v>0</v>
      </c>
      <c r="BA158" s="399"/>
      <c r="BB158" s="399"/>
      <c r="BC158" s="399"/>
      <c r="BD158" s="399"/>
      <c r="BE158" s="399"/>
      <c r="BF158" s="399"/>
      <c r="BG158" s="399"/>
      <c r="BH158" s="399"/>
      <c r="BI158" s="399">
        <v>0</v>
      </c>
      <c r="BJ158" s="399">
        <v>0</v>
      </c>
      <c r="BK158" s="399">
        <v>8134.12</v>
      </c>
      <c r="BL158" s="399">
        <v>7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/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/>
      <c r="CJ158" s="399">
        <v>-0.03</v>
      </c>
      <c r="CK158" s="399"/>
      <c r="CL158" s="399"/>
      <c r="CM158" s="399"/>
      <c r="CN158" s="399"/>
      <c r="CO158" s="399">
        <v>0</v>
      </c>
      <c r="CP158" s="399">
        <v>0</v>
      </c>
      <c r="CQ158" s="399">
        <v>29</v>
      </c>
      <c r="CR158" s="399"/>
      <c r="CS158" s="399"/>
      <c r="CT158" s="399"/>
      <c r="CU158" s="399"/>
      <c r="CV158" s="399"/>
      <c r="CW158" s="399"/>
      <c r="CX158" s="399"/>
      <c r="CY158" s="399"/>
      <c r="CZ158" s="399"/>
      <c r="DA158" s="399"/>
      <c r="DB158" s="399"/>
      <c r="DC158" s="399"/>
      <c r="DD158" s="399"/>
      <c r="DE158" s="399"/>
      <c r="DF158" s="399"/>
      <c r="DG158" s="399"/>
      <c r="DH158" s="399"/>
      <c r="DI158" s="399"/>
      <c r="DJ158" s="399"/>
      <c r="DK158" s="399">
        <v>0</v>
      </c>
      <c r="DL158" s="399"/>
      <c r="DM158" s="399"/>
      <c r="DN158" s="399"/>
      <c r="DO158" s="399"/>
      <c r="DP158" s="399"/>
      <c r="DQ158" s="399"/>
      <c r="DR158" s="399"/>
      <c r="DS158" s="399"/>
      <c r="DT158" s="399"/>
      <c r="DU158" s="399"/>
      <c r="DV158" s="399"/>
      <c r="DW158" s="399"/>
      <c r="DX158" s="399"/>
      <c r="DY158" s="399"/>
      <c r="DZ158" s="399"/>
      <c r="EA158" s="399"/>
      <c r="EB158" s="399"/>
      <c r="EC158" s="399"/>
      <c r="ED158" s="399"/>
      <c r="EE158" s="399"/>
      <c r="EF158" s="399"/>
      <c r="EG158" s="399"/>
      <c r="EH158" s="399"/>
      <c r="EI158" s="399"/>
      <c r="EJ158" s="399"/>
      <c r="EK158" s="399"/>
      <c r="EL158" s="399"/>
      <c r="EM158" s="399"/>
      <c r="EN158" s="399"/>
      <c r="EO158" s="399"/>
      <c r="EP158" s="399"/>
      <c r="EQ158" s="399"/>
      <c r="ER158" s="399"/>
      <c r="ES158" s="399"/>
      <c r="ET158" s="399"/>
      <c r="EU158" s="399"/>
      <c r="EV158" s="399">
        <v>229</v>
      </c>
      <c r="EW158" s="399"/>
      <c r="EX158" s="399"/>
      <c r="EY158" s="399"/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2339</v>
      </c>
      <c r="C159" s="399" t="s">
        <v>2345</v>
      </c>
      <c r="D159" s="399" t="s">
        <v>1822</v>
      </c>
      <c r="E159" s="399" t="s">
        <v>888</v>
      </c>
      <c r="F159" s="399" t="s">
        <v>1237</v>
      </c>
      <c r="G159" s="399" t="s">
        <v>1237</v>
      </c>
      <c r="H159" s="399" t="s">
        <v>1237</v>
      </c>
      <c r="I159" s="399" t="s">
        <v>1237</v>
      </c>
      <c r="J159" s="399" t="s">
        <v>2337</v>
      </c>
      <c r="K159" s="788">
        <v>44593</v>
      </c>
      <c r="L159" s="399">
        <v>0</v>
      </c>
      <c r="M159" s="399">
        <v>0</v>
      </c>
      <c r="N159" s="399">
        <v>0</v>
      </c>
      <c r="O159" s="399">
        <v>0</v>
      </c>
      <c r="P159" s="399">
        <v>0</v>
      </c>
      <c r="Q159" s="399">
        <v>0</v>
      </c>
      <c r="R159" s="399"/>
      <c r="S159" s="399"/>
      <c r="T159" s="399"/>
      <c r="U159" s="399"/>
      <c r="V159" s="399"/>
      <c r="W159" s="399"/>
      <c r="X159" s="399"/>
      <c r="Y159" s="399"/>
      <c r="Z159" s="399"/>
      <c r="AA159" s="399">
        <v>0</v>
      </c>
      <c r="AB159" s="399"/>
      <c r="AC159" s="399"/>
      <c r="AD159" s="399"/>
      <c r="AE159" s="399"/>
      <c r="AF159" s="399"/>
      <c r="AG159" s="399"/>
      <c r="AH159" s="399"/>
      <c r="AI159" s="399"/>
      <c r="AJ159" s="399"/>
      <c r="AK159" s="399"/>
      <c r="AL159" s="399"/>
      <c r="AM159" s="399"/>
      <c r="AN159" s="399"/>
      <c r="AO159" s="399"/>
      <c r="AP159" s="399"/>
      <c r="AQ159" s="399"/>
      <c r="AR159" s="399"/>
      <c r="AS159" s="399"/>
      <c r="AT159" s="399"/>
      <c r="AU159" s="399"/>
      <c r="AV159" s="399"/>
      <c r="AW159" s="399"/>
      <c r="AX159" s="399"/>
      <c r="AY159" s="399"/>
      <c r="AZ159" s="399">
        <v>0</v>
      </c>
      <c r="BA159" s="399"/>
      <c r="BB159" s="399"/>
      <c r="BC159" s="399"/>
      <c r="BD159" s="399"/>
      <c r="BE159" s="399"/>
      <c r="BF159" s="399"/>
      <c r="BG159" s="399"/>
      <c r="BH159" s="399"/>
      <c r="BI159" s="399">
        <v>0</v>
      </c>
      <c r="BJ159" s="399">
        <v>0</v>
      </c>
      <c r="BK159" s="399">
        <v>817.73</v>
      </c>
      <c r="BL159" s="399">
        <v>2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/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/>
      <c r="CJ159" s="399">
        <v>-0.03</v>
      </c>
      <c r="CK159" s="399"/>
      <c r="CL159" s="399"/>
      <c r="CM159" s="399"/>
      <c r="CN159" s="399"/>
      <c r="CO159" s="399">
        <v>0</v>
      </c>
      <c r="CP159" s="399">
        <v>0</v>
      </c>
      <c r="CQ159" s="399">
        <v>29</v>
      </c>
      <c r="CR159" s="399"/>
      <c r="CS159" s="399"/>
      <c r="CT159" s="399"/>
      <c r="CU159" s="399"/>
      <c r="CV159" s="399"/>
      <c r="CW159" s="399"/>
      <c r="CX159" s="399"/>
      <c r="CY159" s="399"/>
      <c r="CZ159" s="399"/>
      <c r="DA159" s="399"/>
      <c r="DB159" s="399"/>
      <c r="DC159" s="399"/>
      <c r="DD159" s="399"/>
      <c r="DE159" s="399"/>
      <c r="DF159" s="399"/>
      <c r="DG159" s="399"/>
      <c r="DH159" s="399"/>
      <c r="DI159" s="399"/>
      <c r="DJ159" s="399"/>
      <c r="DK159" s="399">
        <v>0</v>
      </c>
      <c r="DL159" s="399"/>
      <c r="DM159" s="399"/>
      <c r="DN159" s="399"/>
      <c r="DO159" s="399"/>
      <c r="DP159" s="399"/>
      <c r="DQ159" s="399"/>
      <c r="DR159" s="399"/>
      <c r="DS159" s="399"/>
      <c r="DT159" s="399"/>
      <c r="DU159" s="399"/>
      <c r="DV159" s="399"/>
      <c r="DW159" s="399"/>
      <c r="DX159" s="399"/>
      <c r="DY159" s="399"/>
      <c r="DZ159" s="399"/>
      <c r="EA159" s="399"/>
      <c r="EB159" s="399"/>
      <c r="EC159" s="399"/>
      <c r="ED159" s="399"/>
      <c r="EE159" s="399"/>
      <c r="EF159" s="399"/>
      <c r="EG159" s="399"/>
      <c r="EH159" s="399"/>
      <c r="EI159" s="399"/>
      <c r="EJ159" s="399"/>
      <c r="EK159" s="399"/>
      <c r="EL159" s="399"/>
      <c r="EM159" s="399"/>
      <c r="EN159" s="399"/>
      <c r="EO159" s="399"/>
      <c r="EP159" s="399"/>
      <c r="EQ159" s="399"/>
      <c r="ER159" s="399"/>
      <c r="ES159" s="399"/>
      <c r="ET159" s="399"/>
      <c r="EU159" s="399"/>
      <c r="EV159" s="399">
        <v>229</v>
      </c>
      <c r="EW159" s="399"/>
      <c r="EX159" s="399"/>
      <c r="EY159" s="399"/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954</v>
      </c>
      <c r="C160" s="399" t="s">
        <v>2345</v>
      </c>
      <c r="D160" s="399" t="s">
        <v>1822</v>
      </c>
      <c r="E160" s="399" t="s">
        <v>888</v>
      </c>
      <c r="F160" s="399" t="s">
        <v>1237</v>
      </c>
      <c r="G160" s="399" t="s">
        <v>1237</v>
      </c>
      <c r="H160" s="399" t="s">
        <v>1237</v>
      </c>
      <c r="I160" s="399" t="s">
        <v>2346</v>
      </c>
      <c r="J160" s="399" t="s">
        <v>2337</v>
      </c>
      <c r="K160" s="788">
        <v>44593</v>
      </c>
      <c r="L160" s="399">
        <v>0</v>
      </c>
      <c r="M160" s="399">
        <v>0</v>
      </c>
      <c r="N160" s="399">
        <v>0.19600000000000001</v>
      </c>
      <c r="O160" s="399">
        <v>0.19600000000000001</v>
      </c>
      <c r="P160" s="399">
        <v>0.19600000000000001</v>
      </c>
      <c r="Q160" s="399">
        <v>0.19600000000000001</v>
      </c>
      <c r="R160" s="399"/>
      <c r="S160" s="399">
        <v>1348.63</v>
      </c>
      <c r="T160" s="399">
        <v>119.97</v>
      </c>
      <c r="U160" s="399"/>
      <c r="V160" s="399">
        <v>287.84560000000005</v>
      </c>
      <c r="W160" s="399">
        <v>287.84560000000005</v>
      </c>
      <c r="X160" s="399">
        <v>250.05679999999998</v>
      </c>
      <c r="Y160" s="399">
        <v>0</v>
      </c>
      <c r="Z160" s="399">
        <v>11.935396397311932</v>
      </c>
      <c r="AA160" s="399">
        <v>0</v>
      </c>
      <c r="AB160" s="399">
        <v>0</v>
      </c>
      <c r="AC160" s="399">
        <v>0</v>
      </c>
      <c r="AD160" s="399">
        <v>42.98218148540974</v>
      </c>
      <c r="AE160" s="399">
        <v>203.66364055040668</v>
      </c>
      <c r="AF160" s="399">
        <v>23.514873144411684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1.844404278135876</v>
      </c>
      <c r="AM160" s="399"/>
      <c r="AN160" s="399">
        <v>0.42165455523654266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3.483393047260515</v>
      </c>
      <c r="BH160" s="399">
        <v>0</v>
      </c>
      <c r="BI160" s="399">
        <v>0</v>
      </c>
      <c r="BJ160" s="399">
        <v>0</v>
      </c>
      <c r="BK160" s="399">
        <v>0</v>
      </c>
      <c r="BL160" s="399">
        <v>0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26.998266191672201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255.16</v>
      </c>
      <c r="CJ160" s="399">
        <v>-32.715600000000023</v>
      </c>
      <c r="CK160" s="399"/>
      <c r="CL160" s="399"/>
      <c r="CM160" s="399"/>
      <c r="CN160" s="399"/>
      <c r="CO160" s="399">
        <v>-37.788800000000037</v>
      </c>
      <c r="CP160" s="399">
        <v>0</v>
      </c>
      <c r="CQ160" s="399">
        <v>29</v>
      </c>
      <c r="CR160" s="399">
        <v>-1.5986244560785963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-0.22996240269158363</v>
      </c>
      <c r="DA160" s="399">
        <v>0</v>
      </c>
      <c r="DB160" s="399">
        <v>0</v>
      </c>
      <c r="DC160" s="399">
        <v>0</v>
      </c>
      <c r="DD160" s="399">
        <v>0</v>
      </c>
      <c r="DE160" s="399">
        <v>0</v>
      </c>
      <c r="DF160" s="399">
        <v>0</v>
      </c>
      <c r="DG160" s="399">
        <v>0</v>
      </c>
      <c r="DH160" s="399">
        <v>0</v>
      </c>
      <c r="DI160" s="399">
        <v>-1.1766184125635384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-0.15717700539058121</v>
      </c>
      <c r="DP160" s="399">
        <v>-3.4866635432895643E-2</v>
      </c>
      <c r="DQ160" s="399">
        <v>0</v>
      </c>
      <c r="DR160" s="399">
        <v>0</v>
      </c>
      <c r="DS160" s="399"/>
      <c r="DT160" s="399"/>
      <c r="DU160" s="399"/>
      <c r="DV160" s="399">
        <v>203.66364055040668</v>
      </c>
      <c r="DW160" s="399">
        <v>0</v>
      </c>
      <c r="DX160" s="399">
        <v>0</v>
      </c>
      <c r="DY160" s="399">
        <v>-37.788800000000066</v>
      </c>
      <c r="DZ160" s="399">
        <v>0</v>
      </c>
      <c r="EA160" s="399">
        <v>0</v>
      </c>
      <c r="EB160" s="399">
        <v>0</v>
      </c>
      <c r="EC160" s="399">
        <v>-36.189800396040965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0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229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954</v>
      </c>
      <c r="C161" s="399" t="s">
        <v>2336</v>
      </c>
      <c r="D161" s="399" t="s">
        <v>1822</v>
      </c>
      <c r="E161" s="399" t="s">
        <v>916</v>
      </c>
      <c r="F161" s="399" t="s">
        <v>1237</v>
      </c>
      <c r="G161" s="399" t="s">
        <v>1237</v>
      </c>
      <c r="H161" s="399" t="s">
        <v>1237</v>
      </c>
      <c r="I161" s="399" t="s">
        <v>1237</v>
      </c>
      <c r="J161" s="399" t="s">
        <v>2337</v>
      </c>
      <c r="K161" s="788">
        <v>44593</v>
      </c>
      <c r="L161" s="399">
        <v>0</v>
      </c>
      <c r="M161" s="399">
        <v>0</v>
      </c>
      <c r="N161" s="399">
        <v>104.35299999999999</v>
      </c>
      <c r="O161" s="399">
        <v>104.35299999999999</v>
      </c>
      <c r="P161" s="399">
        <v>104.35299999999999</v>
      </c>
      <c r="Q161" s="399">
        <v>104.35299999999999</v>
      </c>
      <c r="R161" s="399"/>
      <c r="S161" s="399">
        <v>707.13</v>
      </c>
      <c r="T161" s="399">
        <v>119.97</v>
      </c>
      <c r="U161" s="399"/>
      <c r="V161" s="399">
        <v>86310.366299999994</v>
      </c>
      <c r="W161" s="399">
        <v>86310.366299999994</v>
      </c>
      <c r="X161" s="399">
        <v>76076.467589999986</v>
      </c>
      <c r="Y161" s="399">
        <v>0</v>
      </c>
      <c r="Z161" s="399">
        <v>6354.5633686157753</v>
      </c>
      <c r="AA161" s="399">
        <v>0</v>
      </c>
      <c r="AB161" s="399">
        <v>0</v>
      </c>
      <c r="AC161" s="399">
        <v>0</v>
      </c>
      <c r="AD161" s="399">
        <v>11222.039264831228</v>
      </c>
      <c r="AE161" s="399">
        <v>53153.551781916547</v>
      </c>
      <c r="AF161" s="399">
        <v>12519.630394075471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981.98530426690343</v>
      </c>
      <c r="AM161" s="399"/>
      <c r="AN161" s="399">
        <v>224.49447858468844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1854.6046666366149</v>
      </c>
      <c r="BH161" s="399">
        <v>0</v>
      </c>
      <c r="BI161" s="399">
        <v>0</v>
      </c>
      <c r="BJ161" s="399">
        <v>0</v>
      </c>
      <c r="BK161" s="399">
        <v>28642.58</v>
      </c>
      <c r="BL161" s="399">
        <v>267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14374.235060712086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76074.280499999993</v>
      </c>
      <c r="CJ161" s="399">
        <v>-10236.115799999985</v>
      </c>
      <c r="CK161" s="399"/>
      <c r="CL161" s="399"/>
      <c r="CM161" s="399"/>
      <c r="CN161" s="399"/>
      <c r="CO161" s="399">
        <v>-10233.898710000005</v>
      </c>
      <c r="CP161" s="399">
        <v>0</v>
      </c>
      <c r="CQ161" s="399">
        <v>29</v>
      </c>
      <c r="CR161" s="399">
        <v>-788.73376166028174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-60.039928715919814</v>
      </c>
      <c r="DA161" s="399">
        <v>0</v>
      </c>
      <c r="DB161" s="399">
        <v>0</v>
      </c>
      <c r="DC161" s="399">
        <v>0</v>
      </c>
      <c r="DD161" s="399">
        <v>0</v>
      </c>
      <c r="DE161" s="399">
        <v>0</v>
      </c>
      <c r="DF161" s="399">
        <v>0</v>
      </c>
      <c r="DG161" s="399">
        <v>0</v>
      </c>
      <c r="DH161" s="399">
        <v>0</v>
      </c>
      <c r="DI161" s="399">
        <v>-626.44725105226007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-83.683122671037381</v>
      </c>
      <c r="DP161" s="399">
        <v>-18.563459221066097</v>
      </c>
      <c r="DQ161" s="399">
        <v>0</v>
      </c>
      <c r="DR161" s="399">
        <v>0</v>
      </c>
      <c r="DS161" s="399"/>
      <c r="DT161" s="399"/>
      <c r="DU161" s="399"/>
      <c r="DV161" s="399">
        <v>53153.551781916547</v>
      </c>
      <c r="DW161" s="399">
        <v>0</v>
      </c>
      <c r="DX161" s="399">
        <v>0</v>
      </c>
      <c r="DY161" s="399">
        <v>-10233.898710000001</v>
      </c>
      <c r="DZ161" s="399">
        <v>0</v>
      </c>
      <c r="EA161" s="399">
        <v>0</v>
      </c>
      <c r="EB161" s="399">
        <v>0</v>
      </c>
      <c r="EC161" s="399">
        <v>-9445.0655214133367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229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2338</v>
      </c>
      <c r="C162" s="399" t="s">
        <v>2336</v>
      </c>
      <c r="D162" s="399" t="s">
        <v>1822</v>
      </c>
      <c r="E162" s="399" t="s">
        <v>916</v>
      </c>
      <c r="F162" s="399" t="s">
        <v>1237</v>
      </c>
      <c r="G162" s="399" t="s">
        <v>1237</v>
      </c>
      <c r="H162" s="399" t="s">
        <v>1237</v>
      </c>
      <c r="I162" s="399" t="s">
        <v>1237</v>
      </c>
      <c r="J162" s="399" t="s">
        <v>2337</v>
      </c>
      <c r="K162" s="788">
        <v>44593</v>
      </c>
      <c r="L162" s="399">
        <v>0</v>
      </c>
      <c r="M162" s="399">
        <v>0</v>
      </c>
      <c r="N162" s="399">
        <v>-5.2809999999999997</v>
      </c>
      <c r="O162" s="399">
        <v>-5.2809999999999997</v>
      </c>
      <c r="P162" s="399">
        <v>-5.2809999999999997</v>
      </c>
      <c r="Q162" s="399">
        <v>-5.2809999999999997</v>
      </c>
      <c r="R162" s="399"/>
      <c r="S162" s="399">
        <v>707.13</v>
      </c>
      <c r="T162" s="399">
        <v>119.97</v>
      </c>
      <c r="U162" s="399"/>
      <c r="V162" s="399">
        <v>-4367.9151000000002</v>
      </c>
      <c r="W162" s="399">
        <v>-4367.9151000000002</v>
      </c>
      <c r="X162" s="399">
        <v>-3850.0074299999992</v>
      </c>
      <c r="Y162" s="399">
        <v>0</v>
      </c>
      <c r="Z162" s="399">
        <v>-321.5858590520628</v>
      </c>
      <c r="AA162" s="399">
        <v>0</v>
      </c>
      <c r="AB162" s="399">
        <v>0</v>
      </c>
      <c r="AC162" s="399">
        <v>0</v>
      </c>
      <c r="AD162" s="399">
        <v>-567.91457224587418</v>
      </c>
      <c r="AE162" s="399">
        <v>-2689.9457318936807</v>
      </c>
      <c r="AF162" s="399">
        <v>-633.58186263080665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-49.695403024671229</v>
      </c>
      <c r="AM162" s="399"/>
      <c r="AN162" s="399">
        <v>-11.361008705123375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-93.856115727463163</v>
      </c>
      <c r="BH162" s="399">
        <v>0</v>
      </c>
      <c r="BI162" s="399">
        <v>0</v>
      </c>
      <c r="BJ162" s="399">
        <v>0</v>
      </c>
      <c r="BK162" s="399">
        <v>-1533.3</v>
      </c>
      <c r="BL162" s="399">
        <v>0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-727.43797835826979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-3849.2784000000001</v>
      </c>
      <c r="CJ162" s="399">
        <v>518.60669999999936</v>
      </c>
      <c r="CK162" s="399"/>
      <c r="CL162" s="399"/>
      <c r="CM162" s="399"/>
      <c r="CN162" s="399"/>
      <c r="CO162" s="399">
        <v>517.90767000000028</v>
      </c>
      <c r="CP162" s="399">
        <v>0</v>
      </c>
      <c r="CQ162" s="399">
        <v>29</v>
      </c>
      <c r="CR162" s="399">
        <v>39.915507894625989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3.0384451194385065</v>
      </c>
      <c r="DA162" s="399">
        <v>0</v>
      </c>
      <c r="DB162" s="399">
        <v>0</v>
      </c>
      <c r="DC162" s="399">
        <v>0</v>
      </c>
      <c r="DD162" s="399">
        <v>0</v>
      </c>
      <c r="DE162" s="399">
        <v>0</v>
      </c>
      <c r="DF162" s="399">
        <v>0</v>
      </c>
      <c r="DG162" s="399">
        <v>0</v>
      </c>
      <c r="DH162" s="399">
        <v>0</v>
      </c>
      <c r="DI162" s="399">
        <v>31.702662432387967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4.2349579870798948</v>
      </c>
      <c r="DP162" s="399">
        <v>0.93944235572000778</v>
      </c>
      <c r="DQ162" s="399">
        <v>0</v>
      </c>
      <c r="DR162" s="399">
        <v>0</v>
      </c>
      <c r="DS162" s="399"/>
      <c r="DT162" s="399"/>
      <c r="DU162" s="399"/>
      <c r="DV162" s="399">
        <v>-2689.9457318936807</v>
      </c>
      <c r="DW162" s="399">
        <v>0</v>
      </c>
      <c r="DX162" s="399">
        <v>0</v>
      </c>
      <c r="DY162" s="399">
        <v>517.90767000000051</v>
      </c>
      <c r="DZ162" s="399">
        <v>0</v>
      </c>
      <c r="EA162" s="399">
        <v>0</v>
      </c>
      <c r="EB162" s="399">
        <v>0</v>
      </c>
      <c r="EC162" s="399">
        <v>477.98713039954555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229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2339</v>
      </c>
      <c r="C163" s="399" t="s">
        <v>2336</v>
      </c>
      <c r="D163" s="399" t="s">
        <v>1822</v>
      </c>
      <c r="E163" s="399" t="s">
        <v>916</v>
      </c>
      <c r="F163" s="399" t="s">
        <v>1237</v>
      </c>
      <c r="G163" s="399" t="s">
        <v>1237</v>
      </c>
      <c r="H163" s="399" t="s">
        <v>1237</v>
      </c>
      <c r="I163" s="399" t="s">
        <v>1237</v>
      </c>
      <c r="J163" s="399" t="s">
        <v>2337</v>
      </c>
      <c r="K163" s="788">
        <v>44593</v>
      </c>
      <c r="L163" s="399">
        <v>0</v>
      </c>
      <c r="M163" s="399">
        <v>0</v>
      </c>
      <c r="N163" s="399">
        <v>20.271000000000001</v>
      </c>
      <c r="O163" s="399">
        <v>20.271000000000001</v>
      </c>
      <c r="P163" s="399">
        <v>20.271000000000001</v>
      </c>
      <c r="Q163" s="399">
        <v>20.271000000000001</v>
      </c>
      <c r="R163" s="399"/>
      <c r="S163" s="399">
        <v>707.13</v>
      </c>
      <c r="T163" s="399">
        <v>119.97</v>
      </c>
      <c r="U163" s="399"/>
      <c r="V163" s="399">
        <v>16766.144099999998</v>
      </c>
      <c r="W163" s="399">
        <v>16766.144099999998</v>
      </c>
      <c r="X163" s="399">
        <v>14778.16713</v>
      </c>
      <c r="Y163" s="399">
        <v>0</v>
      </c>
      <c r="Z163" s="399">
        <v>1234.4001039281131</v>
      </c>
      <c r="AA163" s="399">
        <v>0</v>
      </c>
      <c r="AB163" s="399">
        <v>0</v>
      </c>
      <c r="AC163" s="399">
        <v>0</v>
      </c>
      <c r="AD163" s="399">
        <v>2179.9273421693083</v>
      </c>
      <c r="AE163" s="399">
        <v>10325.296332364478</v>
      </c>
      <c r="AF163" s="399">
        <v>2431.9897628080066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190.75468939843034</v>
      </c>
      <c r="AM163" s="399"/>
      <c r="AN163" s="399">
        <v>43.608976985714065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360.26459418886685</v>
      </c>
      <c r="BH163" s="399">
        <v>0</v>
      </c>
      <c r="BI163" s="399">
        <v>0</v>
      </c>
      <c r="BJ163" s="399">
        <v>0</v>
      </c>
      <c r="BK163" s="399">
        <v>8506.57</v>
      </c>
      <c r="BL163" s="399">
        <v>8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2792.2543569968734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14777.438099999999</v>
      </c>
      <c r="CJ163" s="399">
        <v>-1988.7360000000008</v>
      </c>
      <c r="CK163" s="399"/>
      <c r="CL163" s="399"/>
      <c r="CM163" s="399"/>
      <c r="CN163" s="399"/>
      <c r="CO163" s="399">
        <v>-1987.9769700000011</v>
      </c>
      <c r="CP163" s="399">
        <v>0</v>
      </c>
      <c r="CQ163" s="399">
        <v>29</v>
      </c>
      <c r="CR163" s="399">
        <v>-153.21478139215651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-11.663003411500995</v>
      </c>
      <c r="DA163" s="399">
        <v>0</v>
      </c>
      <c r="DB163" s="399">
        <v>0</v>
      </c>
      <c r="DC163" s="399">
        <v>0</v>
      </c>
      <c r="DD163" s="399">
        <v>0</v>
      </c>
      <c r="DE163" s="399">
        <v>0</v>
      </c>
      <c r="DF163" s="399">
        <v>0</v>
      </c>
      <c r="DG163" s="399">
        <v>0</v>
      </c>
      <c r="DH163" s="399">
        <v>0</v>
      </c>
      <c r="DI163" s="399">
        <v>-121.6899583728341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-16.255791205471809</v>
      </c>
      <c r="DP163" s="399">
        <v>-3.6060284023481017</v>
      </c>
      <c r="DQ163" s="399">
        <v>0</v>
      </c>
      <c r="DR163" s="399">
        <v>0</v>
      </c>
      <c r="DS163" s="399"/>
      <c r="DT163" s="399"/>
      <c r="DU163" s="399"/>
      <c r="DV163" s="399">
        <v>10325.296332364478</v>
      </c>
      <c r="DW163" s="399">
        <v>0</v>
      </c>
      <c r="DX163" s="399">
        <v>0</v>
      </c>
      <c r="DY163" s="399">
        <v>-1987.9769699999997</v>
      </c>
      <c r="DZ163" s="399">
        <v>0</v>
      </c>
      <c r="EA163" s="399">
        <v>0</v>
      </c>
      <c r="EB163" s="399">
        <v>0</v>
      </c>
      <c r="EC163" s="399">
        <v>-1834.7428745179313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229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954</v>
      </c>
      <c r="C164" s="399" t="s">
        <v>2336</v>
      </c>
      <c r="D164" s="399" t="s">
        <v>2347</v>
      </c>
      <c r="E164" s="399" t="s">
        <v>892</v>
      </c>
      <c r="F164" s="399" t="s">
        <v>1237</v>
      </c>
      <c r="G164" s="399" t="s">
        <v>1237</v>
      </c>
      <c r="H164" s="399" t="s">
        <v>1237</v>
      </c>
      <c r="I164" s="399" t="s">
        <v>1237</v>
      </c>
      <c r="J164" s="399" t="s">
        <v>2337</v>
      </c>
      <c r="K164" s="788">
        <v>44593</v>
      </c>
      <c r="L164" s="399">
        <v>0</v>
      </c>
      <c r="M164" s="399">
        <v>0</v>
      </c>
      <c r="N164" s="399">
        <v>325.15499999999997</v>
      </c>
      <c r="O164" s="399">
        <v>325.15499999999997</v>
      </c>
      <c r="P164" s="399">
        <v>325.15499999999997</v>
      </c>
      <c r="Q164" s="399">
        <v>325.15499999999997</v>
      </c>
      <c r="R164" s="399"/>
      <c r="S164" s="399">
        <v>707.13</v>
      </c>
      <c r="T164" s="399">
        <v>119.97</v>
      </c>
      <c r="U164" s="399"/>
      <c r="V164" s="399">
        <v>268935.70049999998</v>
      </c>
      <c r="W164" s="399">
        <v>268935.70049999998</v>
      </c>
      <c r="X164" s="399">
        <v>237047.74964999995</v>
      </c>
      <c r="Y164" s="399">
        <v>0</v>
      </c>
      <c r="Z164" s="399">
        <v>19800.27456922429</v>
      </c>
      <c r="AA164" s="399">
        <v>0</v>
      </c>
      <c r="AB164" s="399">
        <v>0</v>
      </c>
      <c r="AC164" s="399">
        <v>0</v>
      </c>
      <c r="AD164" s="399">
        <v>34966.91208835585</v>
      </c>
      <c r="AE164" s="399">
        <v>165621.90957278729</v>
      </c>
      <c r="AF164" s="399">
        <v>39010.094781995816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3059.7820053942382</v>
      </c>
      <c r="AM164" s="399"/>
      <c r="AN164" s="399">
        <v>699.50554544866327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5778.7891136836361</v>
      </c>
      <c r="BH164" s="399">
        <v>0</v>
      </c>
      <c r="BI164" s="399">
        <v>0</v>
      </c>
      <c r="BJ164" s="399">
        <v>0</v>
      </c>
      <c r="BK164" s="399">
        <v>54902.12</v>
      </c>
      <c r="BL164" s="399">
        <v>707</v>
      </c>
      <c r="BM164" s="399"/>
      <c r="BN164" s="399"/>
      <c r="BO164" s="399"/>
      <c r="BP164" s="399"/>
      <c r="BQ164" s="399"/>
      <c r="BR164" s="399">
        <v>28444.559399999969</v>
      </c>
      <c r="BS164" s="399"/>
      <c r="BT164" s="399"/>
      <c r="BU164" s="399"/>
      <c r="BV164" s="399">
        <v>44788.88389567945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208606.39800000002</v>
      </c>
      <c r="CJ164" s="399">
        <v>-28060.950299999968</v>
      </c>
      <c r="CK164" s="399"/>
      <c r="CL164" s="399"/>
      <c r="CM164" s="399"/>
      <c r="CN164" s="399"/>
      <c r="CO164" s="399">
        <v>-31887.950850000012</v>
      </c>
      <c r="CP164" s="399">
        <v>0</v>
      </c>
      <c r="CQ164" s="399">
        <v>29</v>
      </c>
      <c r="CR164" s="399">
        <v>-2457.6267694522394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-187.07926961011981</v>
      </c>
      <c r="DA164" s="399">
        <v>0</v>
      </c>
      <c r="DB164" s="399">
        <v>0</v>
      </c>
      <c r="DC164" s="399">
        <v>0</v>
      </c>
      <c r="DD164" s="399">
        <v>0</v>
      </c>
      <c r="DE164" s="399">
        <v>0</v>
      </c>
      <c r="DF164" s="399">
        <v>0</v>
      </c>
      <c r="DG164" s="399">
        <v>0</v>
      </c>
      <c r="DH164" s="399">
        <v>0</v>
      </c>
      <c r="DI164" s="399">
        <v>-1951.955918046413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-260.74943463150203</v>
      </c>
      <c r="DP164" s="399">
        <v>-57.842147164199787</v>
      </c>
      <c r="DQ164" s="399">
        <v>0</v>
      </c>
      <c r="DR164" s="399">
        <v>0</v>
      </c>
      <c r="DS164" s="399"/>
      <c r="DT164" s="399"/>
      <c r="DU164" s="399"/>
      <c r="DV164" s="399">
        <v>165621.90957278729</v>
      </c>
      <c r="DW164" s="399">
        <v>0</v>
      </c>
      <c r="DX164" s="399">
        <v>0</v>
      </c>
      <c r="DY164" s="399">
        <v>-31887.950850000023</v>
      </c>
      <c r="DZ164" s="399">
        <v>0</v>
      </c>
      <c r="EA164" s="399">
        <v>0</v>
      </c>
      <c r="EB164" s="399">
        <v>0</v>
      </c>
      <c r="EC164" s="399">
        <v>-29430.014274770743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229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2338</v>
      </c>
      <c r="C165" s="399" t="s">
        <v>2336</v>
      </c>
      <c r="D165" s="399" t="s">
        <v>2347</v>
      </c>
      <c r="E165" s="399" t="s">
        <v>892</v>
      </c>
      <c r="F165" s="399" t="s">
        <v>1237</v>
      </c>
      <c r="G165" s="399" t="s">
        <v>1237</v>
      </c>
      <c r="H165" s="399" t="s">
        <v>1237</v>
      </c>
      <c r="I165" s="399" t="s">
        <v>1237</v>
      </c>
      <c r="J165" s="399" t="s">
        <v>2337</v>
      </c>
      <c r="K165" s="788">
        <v>44593</v>
      </c>
      <c r="L165" s="399">
        <v>0</v>
      </c>
      <c r="M165" s="399">
        <v>0</v>
      </c>
      <c r="N165" s="399">
        <v>-0.47399999999999998</v>
      </c>
      <c r="O165" s="399">
        <v>-0.47399999999999998</v>
      </c>
      <c r="P165" s="399">
        <v>-0.47399999999999998</v>
      </c>
      <c r="Q165" s="399">
        <v>-0.47399999999999998</v>
      </c>
      <c r="R165" s="399"/>
      <c r="S165" s="399">
        <v>707.13</v>
      </c>
      <c r="T165" s="399">
        <v>119.97</v>
      </c>
      <c r="U165" s="399"/>
      <c r="V165" s="399">
        <v>-392.04539999999997</v>
      </c>
      <c r="W165" s="399">
        <v>-392.04539999999997</v>
      </c>
      <c r="X165" s="399">
        <v>-345.56021999999996</v>
      </c>
      <c r="Y165" s="399">
        <v>0</v>
      </c>
      <c r="Z165" s="399">
        <v>-28.864172920029873</v>
      </c>
      <c r="AA165" s="399">
        <v>0</v>
      </c>
      <c r="AB165" s="399">
        <v>0</v>
      </c>
      <c r="AC165" s="399">
        <v>0</v>
      </c>
      <c r="AD165" s="399">
        <v>-50.973585920193976</v>
      </c>
      <c r="AE165" s="399">
        <v>-241.43803766665494</v>
      </c>
      <c r="AF165" s="399">
        <v>-56.867601379852744</v>
      </c>
      <c r="AG165" s="399">
        <v>0</v>
      </c>
      <c r="AH165" s="399">
        <v>0</v>
      </c>
      <c r="AI165" s="399">
        <v>0</v>
      </c>
      <c r="AJ165" s="399">
        <v>0</v>
      </c>
      <c r="AK165" s="399">
        <v>0</v>
      </c>
      <c r="AL165" s="399">
        <v>-4.4604470807979855</v>
      </c>
      <c r="AM165" s="399"/>
      <c r="AN165" s="399">
        <v>-1.0197156080720469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-8.424124002048389</v>
      </c>
      <c r="BH165" s="399">
        <v>0</v>
      </c>
      <c r="BI165" s="399">
        <v>0</v>
      </c>
      <c r="BJ165" s="399">
        <v>0</v>
      </c>
      <c r="BK165" s="399">
        <v>-57.43</v>
      </c>
      <c r="BL165" s="399">
        <v>0</v>
      </c>
      <c r="BM165" s="399"/>
      <c r="BN165" s="399"/>
      <c r="BO165" s="399"/>
      <c r="BP165" s="399"/>
      <c r="BQ165" s="399"/>
      <c r="BR165" s="399">
        <v>-41.465519999999955</v>
      </c>
      <c r="BS165" s="399"/>
      <c r="BT165" s="399"/>
      <c r="BU165" s="399"/>
      <c r="BV165" s="399">
        <v>-65.291725381901131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-301.52850000000001</v>
      </c>
      <c r="CJ165" s="399">
        <v>43.44713999999999</v>
      </c>
      <c r="CK165" s="399"/>
      <c r="CL165" s="399"/>
      <c r="CM165" s="399"/>
      <c r="CN165" s="399"/>
      <c r="CO165" s="399">
        <v>46.485180000000021</v>
      </c>
      <c r="CP165" s="399">
        <v>0</v>
      </c>
      <c r="CQ165" s="399">
        <v>29</v>
      </c>
      <c r="CR165" s="399">
        <v>3.5826454728371289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0.27271785393180181</v>
      </c>
      <c r="DA165" s="399">
        <v>0</v>
      </c>
      <c r="DB165" s="399">
        <v>0</v>
      </c>
      <c r="DC165" s="399">
        <v>0</v>
      </c>
      <c r="DD165" s="399">
        <v>0</v>
      </c>
      <c r="DE165" s="399">
        <v>0</v>
      </c>
      <c r="DF165" s="399">
        <v>0</v>
      </c>
      <c r="DG165" s="399">
        <v>0</v>
      </c>
      <c r="DH165" s="399">
        <v>0</v>
      </c>
      <c r="DI165" s="399">
        <v>2.8454955487505948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0.38011173752620131</v>
      </c>
      <c r="DP165" s="399">
        <v>8.4320332628533223E-2</v>
      </c>
      <c r="DQ165" s="399">
        <v>0</v>
      </c>
      <c r="DR165" s="399">
        <v>0</v>
      </c>
      <c r="DS165" s="399"/>
      <c r="DT165" s="399"/>
      <c r="DU165" s="399"/>
      <c r="DV165" s="399">
        <v>-241.43803766665494</v>
      </c>
      <c r="DW165" s="399">
        <v>0</v>
      </c>
      <c r="DX165" s="399">
        <v>0</v>
      </c>
      <c r="DY165" s="399">
        <v>46.485180000000014</v>
      </c>
      <c r="DZ165" s="399">
        <v>0</v>
      </c>
      <c r="EA165" s="399">
        <v>0</v>
      </c>
      <c r="EB165" s="399">
        <v>0</v>
      </c>
      <c r="EC165" s="399">
        <v>42.902082902742791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229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2339</v>
      </c>
      <c r="C166" s="399" t="s">
        <v>2336</v>
      </c>
      <c r="D166" s="399" t="s">
        <v>2347</v>
      </c>
      <c r="E166" s="399" t="s">
        <v>892</v>
      </c>
      <c r="F166" s="399" t="s">
        <v>1237</v>
      </c>
      <c r="G166" s="399" t="s">
        <v>1237</v>
      </c>
      <c r="H166" s="399" t="s">
        <v>1237</v>
      </c>
      <c r="I166" s="399" t="s">
        <v>1237</v>
      </c>
      <c r="J166" s="399" t="s">
        <v>2337</v>
      </c>
      <c r="K166" s="788">
        <v>44593</v>
      </c>
      <c r="L166" s="399">
        <v>0</v>
      </c>
      <c r="M166" s="399">
        <v>0</v>
      </c>
      <c r="N166" s="399">
        <v>18.158999999999999</v>
      </c>
      <c r="O166" s="399">
        <v>18.158999999999999</v>
      </c>
      <c r="P166" s="399">
        <v>18.158999999999999</v>
      </c>
      <c r="Q166" s="399">
        <v>18.158999999999999</v>
      </c>
      <c r="R166" s="399"/>
      <c r="S166" s="399">
        <v>707.13</v>
      </c>
      <c r="T166" s="399">
        <v>119.97</v>
      </c>
      <c r="U166" s="399"/>
      <c r="V166" s="399">
        <v>15019.308899999998</v>
      </c>
      <c r="W166" s="399">
        <v>15019.308899999998</v>
      </c>
      <c r="X166" s="399">
        <v>13238.455769999999</v>
      </c>
      <c r="Y166" s="399">
        <v>0</v>
      </c>
      <c r="Z166" s="399">
        <v>1105.7901182591193</v>
      </c>
      <c r="AA166" s="399">
        <v>0</v>
      </c>
      <c r="AB166" s="399">
        <v>0</v>
      </c>
      <c r="AC166" s="399">
        <v>0</v>
      </c>
      <c r="AD166" s="399">
        <v>1952.8045289552795</v>
      </c>
      <c r="AE166" s="399">
        <v>9249.5217847864697</v>
      </c>
      <c r="AF166" s="399">
        <v>2178.6050072927128</v>
      </c>
      <c r="AG166" s="399">
        <v>0</v>
      </c>
      <c r="AH166" s="399">
        <v>0</v>
      </c>
      <c r="AI166" s="399">
        <v>0</v>
      </c>
      <c r="AJ166" s="399">
        <v>0</v>
      </c>
      <c r="AK166" s="399">
        <v>0</v>
      </c>
      <c r="AL166" s="399">
        <v>170.88029227892537</v>
      </c>
      <c r="AM166" s="399"/>
      <c r="AN166" s="399">
        <v>39.065434023165189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322.72925686328415</v>
      </c>
      <c r="BH166" s="399">
        <v>0</v>
      </c>
      <c r="BI166" s="399">
        <v>0</v>
      </c>
      <c r="BJ166" s="399">
        <v>0</v>
      </c>
      <c r="BK166" s="399">
        <v>6128.16</v>
      </c>
      <c r="BL166" s="399">
        <v>13</v>
      </c>
      <c r="BM166" s="399"/>
      <c r="BN166" s="399"/>
      <c r="BO166" s="399"/>
      <c r="BP166" s="399"/>
      <c r="BQ166" s="399"/>
      <c r="BR166" s="399">
        <v>1588.5493199999985</v>
      </c>
      <c r="BS166" s="399"/>
      <c r="BT166" s="399"/>
      <c r="BU166" s="399"/>
      <c r="BV166" s="399">
        <v>2501.3342641559971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11650.548000000001</v>
      </c>
      <c r="CJ166" s="399">
        <v>-1566.6917399999984</v>
      </c>
      <c r="CK166" s="399"/>
      <c r="CL166" s="399"/>
      <c r="CM166" s="399"/>
      <c r="CN166" s="399"/>
      <c r="CO166" s="399">
        <v>-1780.8531300000009</v>
      </c>
      <c r="CP166" s="399">
        <v>0</v>
      </c>
      <c r="CQ166" s="399">
        <v>29</v>
      </c>
      <c r="CR166" s="399">
        <v>-137.25160156381753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-10.447855505374946</v>
      </c>
      <c r="DA166" s="399">
        <v>0</v>
      </c>
      <c r="DB166" s="399">
        <v>0</v>
      </c>
      <c r="DC166" s="399">
        <v>0</v>
      </c>
      <c r="DD166" s="399">
        <v>0</v>
      </c>
      <c r="DE166" s="399">
        <v>0</v>
      </c>
      <c r="DF166" s="399">
        <v>0</v>
      </c>
      <c r="DG166" s="399">
        <v>0</v>
      </c>
      <c r="DH166" s="399">
        <v>0</v>
      </c>
      <c r="DI166" s="399">
        <v>-109.0112946619455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-14.562128780038591</v>
      </c>
      <c r="DP166" s="399">
        <v>-3.2303226164589347</v>
      </c>
      <c r="DQ166" s="399">
        <v>0</v>
      </c>
      <c r="DR166" s="399">
        <v>0</v>
      </c>
      <c r="DS166" s="399"/>
      <c r="DT166" s="399"/>
      <c r="DU166" s="399"/>
      <c r="DV166" s="399">
        <v>9249.5217847864697</v>
      </c>
      <c r="DW166" s="399">
        <v>0</v>
      </c>
      <c r="DX166" s="399">
        <v>0</v>
      </c>
      <c r="DY166" s="399">
        <v>-1780.8531299999995</v>
      </c>
      <c r="DZ166" s="399">
        <v>0</v>
      </c>
      <c r="EA166" s="399">
        <v>0</v>
      </c>
      <c r="EB166" s="399">
        <v>0</v>
      </c>
      <c r="EC166" s="399">
        <v>-1643.584226647481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0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229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2339</v>
      </c>
      <c r="C167" s="399" t="s">
        <v>2344</v>
      </c>
      <c r="D167" s="399" t="s">
        <v>533</v>
      </c>
      <c r="E167" s="399" t="s">
        <v>892</v>
      </c>
      <c r="F167" s="399" t="s">
        <v>1237</v>
      </c>
      <c r="G167" s="399" t="s">
        <v>1237</v>
      </c>
      <c r="H167" s="399" t="s">
        <v>1237</v>
      </c>
      <c r="I167" s="399" t="s">
        <v>891</v>
      </c>
      <c r="J167" s="399" t="s">
        <v>2337</v>
      </c>
      <c r="K167" s="788">
        <v>44593</v>
      </c>
      <c r="L167" s="399">
        <v>0</v>
      </c>
      <c r="M167" s="399">
        <v>0</v>
      </c>
      <c r="N167" s="399">
        <v>0.223</v>
      </c>
      <c r="O167" s="399">
        <v>0.21407999999999999</v>
      </c>
      <c r="P167" s="399">
        <v>0.223</v>
      </c>
      <c r="Q167" s="399">
        <v>0.21407999999999999</v>
      </c>
      <c r="R167" s="399"/>
      <c r="S167" s="399">
        <v>3312.96</v>
      </c>
      <c r="T167" s="399">
        <v>119.97</v>
      </c>
      <c r="U167" s="399"/>
      <c r="V167" s="399">
        <v>765.54339000000004</v>
      </c>
      <c r="W167" s="399">
        <v>765.54339000000004</v>
      </c>
      <c r="X167" s="399">
        <v>664.49763000000007</v>
      </c>
      <c r="Y167" s="399">
        <v>0</v>
      </c>
      <c r="Z167" s="399">
        <v>11.814215586951462</v>
      </c>
      <c r="AA167" s="399">
        <v>0</v>
      </c>
      <c r="AB167" s="399">
        <v>0</v>
      </c>
      <c r="AC167" s="399">
        <v>0</v>
      </c>
      <c r="AD167" s="399">
        <v>166.72349800138841</v>
      </c>
      <c r="AE167" s="399">
        <v>555.98155082129392</v>
      </c>
      <c r="AF167" s="399">
        <v>26.754166893896969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2.0984803776750018</v>
      </c>
      <c r="AM167" s="399"/>
      <c r="AN167" s="399">
        <v>0.18748323433930161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1.9855579712953071</v>
      </c>
      <c r="BH167" s="399">
        <v>0</v>
      </c>
      <c r="BI167" s="399">
        <v>0</v>
      </c>
      <c r="BJ167" s="399">
        <v>0</v>
      </c>
      <c r="BK167" s="399">
        <v>0</v>
      </c>
      <c r="BL167" s="399">
        <v>0</v>
      </c>
      <c r="BM167" s="399"/>
      <c r="BN167" s="399"/>
      <c r="BO167" s="399"/>
      <c r="BP167" s="399"/>
      <c r="BQ167" s="399"/>
      <c r="BR167" s="399">
        <v>26.579905200000034</v>
      </c>
      <c r="BS167" s="399"/>
      <c r="BT167" s="399"/>
      <c r="BU167" s="399"/>
      <c r="BV167" s="399">
        <v>28.739724865192276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625.76010000000008</v>
      </c>
      <c r="CJ167" s="399">
        <v>-109.19155439999986</v>
      </c>
      <c r="CK167" s="399"/>
      <c r="CL167" s="399"/>
      <c r="CM167" s="399"/>
      <c r="CN167" s="399"/>
      <c r="CO167" s="399">
        <v>-101.04575999999997</v>
      </c>
      <c r="CP167" s="399">
        <v>0</v>
      </c>
      <c r="CQ167" s="399">
        <v>29</v>
      </c>
      <c r="CR167" s="399">
        <v>-2.2510047762021372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-0.89200070495652994</v>
      </c>
      <c r="DA167" s="399">
        <v>0</v>
      </c>
      <c r="DB167" s="399">
        <v>0</v>
      </c>
      <c r="DC167" s="399">
        <v>0</v>
      </c>
      <c r="DD167" s="399">
        <v>0</v>
      </c>
      <c r="DE167" s="399">
        <v>0</v>
      </c>
      <c r="DF167" s="399">
        <v>0</v>
      </c>
      <c r="DG167" s="399">
        <v>0</v>
      </c>
      <c r="DH167" s="399">
        <v>0</v>
      </c>
      <c r="DI167" s="399">
        <v>-1.1646721337829096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-0.17882893980663073</v>
      </c>
      <c r="DP167" s="399">
        <v>-1.5502997656034662E-2</v>
      </c>
      <c r="DQ167" s="399">
        <v>0</v>
      </c>
      <c r="DR167" s="399">
        <v>0</v>
      </c>
      <c r="DS167" s="399"/>
      <c r="DT167" s="399"/>
      <c r="DU167" s="399"/>
      <c r="DV167" s="399">
        <v>555.98155082129392</v>
      </c>
      <c r="DW167" s="399">
        <v>0</v>
      </c>
      <c r="DX167" s="399">
        <v>0</v>
      </c>
      <c r="DY167" s="399">
        <v>-101.04575999999997</v>
      </c>
      <c r="DZ167" s="399">
        <v>0</v>
      </c>
      <c r="EA167" s="399">
        <v>0</v>
      </c>
      <c r="EB167" s="399">
        <v>0</v>
      </c>
      <c r="EC167" s="399">
        <v>-98.794567816456492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229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2339</v>
      </c>
      <c r="C168" s="399" t="s">
        <v>2344</v>
      </c>
      <c r="D168" s="399" t="s">
        <v>533</v>
      </c>
      <c r="E168" s="399" t="s">
        <v>892</v>
      </c>
      <c r="F168" s="399" t="s">
        <v>1237</v>
      </c>
      <c r="G168" s="399" t="s">
        <v>1237</v>
      </c>
      <c r="H168" s="399" t="s">
        <v>1237</v>
      </c>
      <c r="I168" s="399" t="s">
        <v>2322</v>
      </c>
      <c r="J168" s="399" t="s">
        <v>2337</v>
      </c>
      <c r="K168" s="788">
        <v>44593</v>
      </c>
      <c r="L168" s="399">
        <v>0</v>
      </c>
      <c r="M168" s="399">
        <v>0</v>
      </c>
      <c r="N168" s="399">
        <v>4.3380000000000001</v>
      </c>
      <c r="O168" s="399">
        <v>4.1644800000000002</v>
      </c>
      <c r="P168" s="399">
        <v>4.3380000000000001</v>
      </c>
      <c r="Q168" s="399">
        <v>4.1644800000000002</v>
      </c>
      <c r="R168" s="399"/>
      <c r="S168" s="399">
        <v>72.13</v>
      </c>
      <c r="T168" s="399">
        <v>119.97</v>
      </c>
      <c r="U168" s="399"/>
      <c r="V168" s="399">
        <v>833.32979999999998</v>
      </c>
      <c r="W168" s="399">
        <v>833.32979999999998</v>
      </c>
      <c r="X168" s="399">
        <v>806.91138000000001</v>
      </c>
      <c r="Y168" s="399">
        <v>0</v>
      </c>
      <c r="Z168" s="399">
        <v>229.82092922060738</v>
      </c>
      <c r="AA168" s="399">
        <v>0</v>
      </c>
      <c r="AB168" s="399">
        <v>0</v>
      </c>
      <c r="AC168" s="399">
        <v>0</v>
      </c>
      <c r="AD168" s="399">
        <v>0</v>
      </c>
      <c r="AE168" s="399">
        <v>0</v>
      </c>
      <c r="AF168" s="399">
        <v>520.44652908396881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40.821559992619541</v>
      </c>
      <c r="AM168" s="399"/>
      <c r="AN168" s="399">
        <v>3.6470953836945754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38.624890042506912</v>
      </c>
      <c r="BH168" s="399">
        <v>0</v>
      </c>
      <c r="BI168" s="399">
        <v>0</v>
      </c>
      <c r="BJ168" s="399">
        <v>0</v>
      </c>
      <c r="BK168" s="399">
        <v>0</v>
      </c>
      <c r="BL168" s="399">
        <v>0</v>
      </c>
      <c r="BM168" s="399"/>
      <c r="BN168" s="399"/>
      <c r="BO168" s="399"/>
      <c r="BP168" s="399"/>
      <c r="BQ168" s="399"/>
      <c r="BR168" s="399">
        <v>32.27645519999998</v>
      </c>
      <c r="BS168" s="399"/>
      <c r="BT168" s="399"/>
      <c r="BU168" s="399"/>
      <c r="BV168" s="399">
        <v>559.07141912647569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773.80160000000001</v>
      </c>
      <c r="CJ168" s="399">
        <v>-26.225007999999889</v>
      </c>
      <c r="CK168" s="399"/>
      <c r="CL168" s="399"/>
      <c r="CM168" s="399"/>
      <c r="CN168" s="399"/>
      <c r="CO168" s="399">
        <v>-26.418419999999955</v>
      </c>
      <c r="CP168" s="399">
        <v>0</v>
      </c>
      <c r="CQ168" s="399">
        <v>29</v>
      </c>
      <c r="CR168" s="399">
        <v>-26.436590408355642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0</v>
      </c>
      <c r="DA168" s="399">
        <v>0</v>
      </c>
      <c r="DB168" s="399">
        <v>0</v>
      </c>
      <c r="DC168" s="399">
        <v>0</v>
      </c>
      <c r="DD168" s="399">
        <v>0</v>
      </c>
      <c r="DE168" s="399">
        <v>0</v>
      </c>
      <c r="DF168" s="399">
        <v>0</v>
      </c>
      <c r="DG168" s="399">
        <v>0</v>
      </c>
      <c r="DH168" s="399">
        <v>0</v>
      </c>
      <c r="DI168" s="399">
        <v>-22.656267786324065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-3.478744129511945</v>
      </c>
      <c r="DP168" s="399">
        <v>-0.30157849251963365</v>
      </c>
      <c r="DQ168" s="399">
        <v>0</v>
      </c>
      <c r="DR168" s="399">
        <v>0</v>
      </c>
      <c r="DS168" s="399"/>
      <c r="DT168" s="399"/>
      <c r="DU168" s="399"/>
      <c r="DV168" s="399">
        <v>0</v>
      </c>
      <c r="DW168" s="399">
        <v>0</v>
      </c>
      <c r="DX168" s="399">
        <v>0</v>
      </c>
      <c r="DY168" s="399">
        <v>-26.418419999999912</v>
      </c>
      <c r="DZ168" s="399">
        <v>0</v>
      </c>
      <c r="EA168" s="399">
        <v>0</v>
      </c>
      <c r="EB168" s="399">
        <v>0</v>
      </c>
      <c r="EC168" s="399">
        <v>0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229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2339</v>
      </c>
      <c r="C169" s="399" t="s">
        <v>2344</v>
      </c>
      <c r="D169" s="399" t="s">
        <v>533</v>
      </c>
      <c r="E169" s="399" t="s">
        <v>892</v>
      </c>
      <c r="F169" s="399" t="s">
        <v>1237</v>
      </c>
      <c r="G169" s="399" t="s">
        <v>1237</v>
      </c>
      <c r="H169" s="399" t="s">
        <v>1237</v>
      </c>
      <c r="I169" s="399" t="s">
        <v>1237</v>
      </c>
      <c r="J169" s="399" t="s">
        <v>2337</v>
      </c>
      <c r="K169" s="788">
        <v>44593</v>
      </c>
      <c r="L169" s="399">
        <v>41</v>
      </c>
      <c r="M169" s="399">
        <v>39.36</v>
      </c>
      <c r="N169" s="399">
        <v>0</v>
      </c>
      <c r="O169" s="399">
        <v>0</v>
      </c>
      <c r="P169" s="399">
        <v>0</v>
      </c>
      <c r="Q169" s="399">
        <v>0</v>
      </c>
      <c r="R169" s="399">
        <v>46.29</v>
      </c>
      <c r="S169" s="399"/>
      <c r="T169" s="399"/>
      <c r="U169" s="399">
        <v>1897.8899999999999</v>
      </c>
      <c r="V169" s="399"/>
      <c r="W169" s="399">
        <v>1897.8899999999999</v>
      </c>
      <c r="X169" s="399">
        <v>1687.1499999999999</v>
      </c>
      <c r="Y169" s="399">
        <v>0</v>
      </c>
      <c r="Z169" s="399">
        <v>0</v>
      </c>
      <c r="AA169" s="399">
        <v>0</v>
      </c>
      <c r="AB169" s="399">
        <v>0</v>
      </c>
      <c r="AC169" s="399">
        <v>0</v>
      </c>
      <c r="AD169" s="399">
        <v>734.43350731415194</v>
      </c>
      <c r="AE169" s="399">
        <v>1163.3105606845963</v>
      </c>
      <c r="AF169" s="399"/>
      <c r="AG169" s="399"/>
      <c r="AH169" s="399"/>
      <c r="AI169" s="399">
        <v>0</v>
      </c>
      <c r="AJ169" s="399">
        <v>0</v>
      </c>
      <c r="AK169" s="399">
        <v>0</v>
      </c>
      <c r="AL169" s="399">
        <v>0</v>
      </c>
      <c r="AM169" s="399"/>
      <c r="AN169" s="399">
        <v>0</v>
      </c>
      <c r="AO169" s="399">
        <v>0</v>
      </c>
      <c r="AP169" s="399">
        <v>0</v>
      </c>
      <c r="AQ169" s="399">
        <v>0</v>
      </c>
      <c r="AR169" s="399">
        <v>0</v>
      </c>
      <c r="AS169" s="399"/>
      <c r="AT169" s="399"/>
      <c r="AU169" s="399">
        <v>0</v>
      </c>
      <c r="AV169" s="399">
        <v>0</v>
      </c>
      <c r="AW169" s="399">
        <v>0</v>
      </c>
      <c r="AX169" s="399"/>
      <c r="AY169" s="399"/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/>
      <c r="BG169" s="399">
        <v>0</v>
      </c>
      <c r="BH169" s="399">
        <v>0</v>
      </c>
      <c r="BI169" s="399">
        <v>0</v>
      </c>
      <c r="BJ169" s="399">
        <v>0</v>
      </c>
      <c r="BK169" s="399">
        <v>1289.8</v>
      </c>
      <c r="BL169" s="399">
        <v>1</v>
      </c>
      <c r="BM169" s="399"/>
      <c r="BN169" s="399"/>
      <c r="BO169" s="399"/>
      <c r="BP169" s="399"/>
      <c r="BQ169" s="399"/>
      <c r="BR169" s="399">
        <v>67.486000000000018</v>
      </c>
      <c r="BS169" s="399"/>
      <c r="BT169" s="399"/>
      <c r="BU169" s="399"/>
      <c r="BV169" s="399">
        <v>0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1619.664</v>
      </c>
      <c r="CJ169" s="399">
        <v>-202.34039999999982</v>
      </c>
      <c r="CK169" s="399"/>
      <c r="CL169" s="399"/>
      <c r="CM169" s="399"/>
      <c r="CN169" s="399"/>
      <c r="CO169" s="399">
        <v>-210.74</v>
      </c>
      <c r="CP169" s="399">
        <v>0</v>
      </c>
      <c r="CQ169" s="399">
        <v>29</v>
      </c>
      <c r="CR169" s="399">
        <v>-3.9293513759088228</v>
      </c>
      <c r="CS169" s="399">
        <v>0</v>
      </c>
      <c r="CT169" s="399">
        <v>0</v>
      </c>
      <c r="CU169" s="399">
        <v>0</v>
      </c>
      <c r="CV169" s="399">
        <v>0</v>
      </c>
      <c r="CW169" s="399"/>
      <c r="CX169" s="399"/>
      <c r="CY169" s="399"/>
      <c r="CZ169" s="399">
        <v>-3.9293513759088228</v>
      </c>
      <c r="DA169" s="399">
        <v>0</v>
      </c>
      <c r="DB169" s="399">
        <v>0</v>
      </c>
      <c r="DC169" s="399"/>
      <c r="DD169" s="399"/>
      <c r="DE169" s="399">
        <v>0</v>
      </c>
      <c r="DF169" s="399">
        <v>0</v>
      </c>
      <c r="DG169" s="399">
        <v>0</v>
      </c>
      <c r="DH169" s="399">
        <v>0</v>
      </c>
      <c r="DI169" s="399">
        <v>0</v>
      </c>
      <c r="DJ169" s="399"/>
      <c r="DK169" s="399">
        <v>0</v>
      </c>
      <c r="DL169" s="399">
        <v>0</v>
      </c>
      <c r="DM169" s="399"/>
      <c r="DN169" s="399">
        <v>0</v>
      </c>
      <c r="DO169" s="399">
        <v>0</v>
      </c>
      <c r="DP169" s="399">
        <v>0</v>
      </c>
      <c r="DQ169" s="399">
        <v>0</v>
      </c>
      <c r="DR169" s="399">
        <v>0</v>
      </c>
      <c r="DS169" s="399"/>
      <c r="DT169" s="399"/>
      <c r="DU169" s="399">
        <v>1163.3105606845963</v>
      </c>
      <c r="DV169" s="399"/>
      <c r="DW169" s="399">
        <v>0</v>
      </c>
      <c r="DX169" s="399">
        <v>0</v>
      </c>
      <c r="DY169" s="399">
        <v>-210.74</v>
      </c>
      <c r="DZ169" s="399"/>
      <c r="EA169" s="399">
        <v>0</v>
      </c>
      <c r="EB169" s="399"/>
      <c r="EC169" s="399">
        <v>-206.71326936907019</v>
      </c>
      <c r="ED169" s="399"/>
      <c r="EE169" s="399">
        <v>0</v>
      </c>
      <c r="EF169" s="399">
        <v>0</v>
      </c>
      <c r="EG169" s="399"/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/>
      <c r="EN169" s="399"/>
      <c r="EO169" s="399">
        <v>0</v>
      </c>
      <c r="EP169" s="399">
        <v>0</v>
      </c>
      <c r="EQ169" s="399"/>
      <c r="ER169" s="399">
        <v>0</v>
      </c>
      <c r="ES169" s="399"/>
      <c r="ET169" s="399">
        <v>0</v>
      </c>
      <c r="EU169" s="399"/>
      <c r="EV169" s="399">
        <v>229</v>
      </c>
      <c r="EW169" s="399"/>
      <c r="EX169" s="399"/>
      <c r="EY169" s="399"/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954</v>
      </c>
      <c r="C170" s="399" t="s">
        <v>2336</v>
      </c>
      <c r="D170" s="399" t="s">
        <v>1822</v>
      </c>
      <c r="E170" s="399" t="s">
        <v>2348</v>
      </c>
      <c r="F170" s="399" t="s">
        <v>1237</v>
      </c>
      <c r="G170" s="399" t="s">
        <v>1237</v>
      </c>
      <c r="H170" s="399" t="s">
        <v>1237</v>
      </c>
      <c r="I170" s="399" t="s">
        <v>1237</v>
      </c>
      <c r="J170" s="399" t="s">
        <v>2337</v>
      </c>
      <c r="K170" s="788">
        <v>44593</v>
      </c>
      <c r="L170" s="399">
        <v>0</v>
      </c>
      <c r="M170" s="399">
        <v>0</v>
      </c>
      <c r="N170" s="399">
        <v>34.493000000000002</v>
      </c>
      <c r="O170" s="399">
        <v>34.493000000000002</v>
      </c>
      <c r="P170" s="399">
        <v>34.493000000000002</v>
      </c>
      <c r="Q170" s="399">
        <v>34.493000000000002</v>
      </c>
      <c r="R170" s="399"/>
      <c r="S170" s="399">
        <v>707.13</v>
      </c>
      <c r="T170" s="399">
        <v>119.97</v>
      </c>
      <c r="U170" s="399"/>
      <c r="V170" s="399">
        <v>28529.160300000003</v>
      </c>
      <c r="W170" s="399">
        <v>28529.160300000003</v>
      </c>
      <c r="X170" s="399">
        <v>25146.431790000002</v>
      </c>
      <c r="Y170" s="399">
        <v>0</v>
      </c>
      <c r="Z170" s="399">
        <v>2100.4470812881659</v>
      </c>
      <c r="AA170" s="399">
        <v>0</v>
      </c>
      <c r="AB170" s="399">
        <v>0</v>
      </c>
      <c r="AC170" s="399">
        <v>0</v>
      </c>
      <c r="AD170" s="399">
        <v>3709.349998196732</v>
      </c>
      <c r="AE170" s="399">
        <v>17569.456188261454</v>
      </c>
      <c r="AF170" s="399">
        <v>4138.2577518887356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324.58692227418766</v>
      </c>
      <c r="AM170" s="399"/>
      <c r="AN170" s="399">
        <v>74.204747825377893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613.02385907733139</v>
      </c>
      <c r="BH170" s="399">
        <v>0</v>
      </c>
      <c r="BI170" s="399">
        <v>0</v>
      </c>
      <c r="BJ170" s="399">
        <v>0</v>
      </c>
      <c r="BK170" s="399">
        <v>9398.89</v>
      </c>
      <c r="BL170" s="399">
        <v>82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4751.2816109660671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25144.244699999999</v>
      </c>
      <c r="CJ170" s="399">
        <v>-3384.9455999999991</v>
      </c>
      <c r="CK170" s="399"/>
      <c r="CL170" s="399"/>
      <c r="CM170" s="399"/>
      <c r="CN170" s="399"/>
      <c r="CO170" s="399">
        <v>-3382.7285100000017</v>
      </c>
      <c r="CP170" s="399">
        <v>0</v>
      </c>
      <c r="CQ170" s="399">
        <v>29</v>
      </c>
      <c r="CR170" s="399">
        <v>-260.70926222483467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-19.845689737699558</v>
      </c>
      <c r="DA170" s="399">
        <v>0</v>
      </c>
      <c r="DB170" s="399">
        <v>0</v>
      </c>
      <c r="DC170" s="399">
        <v>0</v>
      </c>
      <c r="DD170" s="399">
        <v>0</v>
      </c>
      <c r="DE170" s="399">
        <v>0</v>
      </c>
      <c r="DF170" s="399">
        <v>0</v>
      </c>
      <c r="DG170" s="399">
        <v>0</v>
      </c>
      <c r="DH170" s="399">
        <v>0</v>
      </c>
      <c r="DI170" s="399">
        <v>-207.06683114568455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-27.660747178251654</v>
      </c>
      <c r="DP170" s="399">
        <v>-6.135994163198319</v>
      </c>
      <c r="DQ170" s="399">
        <v>0</v>
      </c>
      <c r="DR170" s="399">
        <v>0</v>
      </c>
      <c r="DS170" s="399"/>
      <c r="DT170" s="399"/>
      <c r="DU170" s="399"/>
      <c r="DV170" s="399">
        <v>17569.456188261454</v>
      </c>
      <c r="DW170" s="399">
        <v>0</v>
      </c>
      <c r="DX170" s="399">
        <v>0</v>
      </c>
      <c r="DY170" s="399">
        <v>-3382.7285100000008</v>
      </c>
      <c r="DZ170" s="399">
        <v>0</v>
      </c>
      <c r="EA170" s="399">
        <v>0</v>
      </c>
      <c r="EB170" s="399">
        <v>0</v>
      </c>
      <c r="EC170" s="399">
        <v>-3121.9863830470622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229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954</v>
      </c>
      <c r="C171" s="399" t="s">
        <v>2336</v>
      </c>
      <c r="D171" s="399" t="s">
        <v>2349</v>
      </c>
      <c r="E171" s="399" t="s">
        <v>2350</v>
      </c>
      <c r="F171" s="399" t="s">
        <v>2351</v>
      </c>
      <c r="G171" s="399" t="s">
        <v>1237</v>
      </c>
      <c r="H171" s="399" t="s">
        <v>1237</v>
      </c>
      <c r="I171" s="399" t="s">
        <v>1237</v>
      </c>
      <c r="J171" s="399" t="s">
        <v>2337</v>
      </c>
      <c r="K171" s="788">
        <v>44593</v>
      </c>
      <c r="L171" s="399">
        <v>0</v>
      </c>
      <c r="M171" s="399">
        <v>0</v>
      </c>
      <c r="N171" s="399">
        <v>84.697999999999993</v>
      </c>
      <c r="O171" s="399">
        <v>84.697999999999993</v>
      </c>
      <c r="P171" s="399">
        <v>84.697999999999993</v>
      </c>
      <c r="Q171" s="399">
        <v>84.697999999999993</v>
      </c>
      <c r="R171" s="399"/>
      <c r="S171" s="399">
        <v>388.92</v>
      </c>
      <c r="T171" s="399">
        <v>65.989999999999995</v>
      </c>
      <c r="U171" s="399"/>
      <c r="V171" s="399">
        <v>38529.967179999992</v>
      </c>
      <c r="W171" s="399">
        <v>38529.967179999992</v>
      </c>
      <c r="X171" s="399">
        <v>33961.357059999995</v>
      </c>
      <c r="Y171" s="399">
        <v>0</v>
      </c>
      <c r="Z171" s="399">
        <v>2836.7209807792856</v>
      </c>
      <c r="AA171" s="399">
        <v>0</v>
      </c>
      <c r="AB171" s="399">
        <v>0</v>
      </c>
      <c r="AC171" s="399">
        <v>0</v>
      </c>
      <c r="AD171" s="399">
        <v>5009.5958420838015</v>
      </c>
      <c r="AE171" s="399">
        <v>23728.112664260949</v>
      </c>
      <c r="AF171" s="399">
        <v>5588.8494850610123</v>
      </c>
      <c r="AG171" s="399">
        <v>0</v>
      </c>
      <c r="AH171" s="399">
        <v>0</v>
      </c>
      <c r="AI171" s="399">
        <v>0</v>
      </c>
      <c r="AJ171" s="399">
        <v>0</v>
      </c>
      <c r="AK171" s="399">
        <v>0</v>
      </c>
      <c r="AL171" s="399">
        <v>438.36502271558072</v>
      </c>
      <c r="AM171" s="399"/>
      <c r="AN171" s="399">
        <v>100.21588589634499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827.90833354223957</v>
      </c>
      <c r="BH171" s="399">
        <v>0</v>
      </c>
      <c r="BI171" s="399">
        <v>0</v>
      </c>
      <c r="BJ171" s="399">
        <v>0</v>
      </c>
      <c r="BK171" s="399">
        <v>15329.48</v>
      </c>
      <c r="BL171" s="399">
        <v>2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6416.7578186032515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33962.159000000007</v>
      </c>
      <c r="CJ171" s="399">
        <v>-4567.8381799999916</v>
      </c>
      <c r="CK171" s="399"/>
      <c r="CL171" s="399"/>
      <c r="CM171" s="399"/>
      <c r="CN171" s="399"/>
      <c r="CO171" s="399">
        <v>-4568.6101199999994</v>
      </c>
      <c r="CP171" s="399">
        <v>0</v>
      </c>
      <c r="CQ171" s="399">
        <v>29</v>
      </c>
      <c r="CR171" s="399">
        <v>-352.09619924494655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-26.802238894049879</v>
      </c>
      <c r="DA171" s="399">
        <v>0</v>
      </c>
      <c r="DB171" s="399">
        <v>0</v>
      </c>
      <c r="DC171" s="399">
        <v>0</v>
      </c>
      <c r="DD171" s="399">
        <v>0</v>
      </c>
      <c r="DE171" s="399">
        <v>0</v>
      </c>
      <c r="DF171" s="399">
        <v>0</v>
      </c>
      <c r="DG171" s="399">
        <v>0</v>
      </c>
      <c r="DH171" s="399">
        <v>0</v>
      </c>
      <c r="DI171" s="399">
        <v>-279.65037994397471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-37.35672398680714</v>
      </c>
      <c r="DP171" s="399">
        <v>-8.2868564201149866</v>
      </c>
      <c r="DQ171" s="399">
        <v>0</v>
      </c>
      <c r="DR171" s="399">
        <v>0</v>
      </c>
      <c r="DS171" s="399"/>
      <c r="DT171" s="399"/>
      <c r="DU171" s="399"/>
      <c r="DV171" s="399">
        <v>23728.112664260949</v>
      </c>
      <c r="DW171" s="399">
        <v>0</v>
      </c>
      <c r="DX171" s="399">
        <v>0</v>
      </c>
      <c r="DY171" s="399">
        <v>-4568.6101199999976</v>
      </c>
      <c r="DZ171" s="399">
        <v>0</v>
      </c>
      <c r="EA171" s="399">
        <v>0</v>
      </c>
      <c r="EB171" s="399">
        <v>0</v>
      </c>
      <c r="EC171" s="399">
        <v>-4216.3424888883237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229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954</v>
      </c>
      <c r="C172" s="399" t="s">
        <v>2336</v>
      </c>
      <c r="D172" s="399" t="s">
        <v>1822</v>
      </c>
      <c r="E172" s="399" t="s">
        <v>919</v>
      </c>
      <c r="F172" s="399" t="s">
        <v>2352</v>
      </c>
      <c r="G172" s="399" t="s">
        <v>1237</v>
      </c>
      <c r="H172" s="399" t="s">
        <v>1237</v>
      </c>
      <c r="I172" s="399" t="s">
        <v>1237</v>
      </c>
      <c r="J172" s="399" t="s">
        <v>2337</v>
      </c>
      <c r="K172" s="788">
        <v>44593</v>
      </c>
      <c r="L172" s="399">
        <v>0</v>
      </c>
      <c r="M172" s="399">
        <v>0</v>
      </c>
      <c r="N172" s="399">
        <v>5.7190000000000003</v>
      </c>
      <c r="O172" s="399">
        <v>5.3758600000000003</v>
      </c>
      <c r="P172" s="399">
        <v>5.7190000000000003</v>
      </c>
      <c r="Q172" s="399">
        <v>5.3758600000000003</v>
      </c>
      <c r="R172" s="399"/>
      <c r="S172" s="399">
        <v>707.13</v>
      </c>
      <c r="T172" s="399">
        <v>119.97</v>
      </c>
      <c r="U172" s="399"/>
      <c r="V172" s="399">
        <v>4730.1849000000002</v>
      </c>
      <c r="W172" s="399">
        <v>4730.1849000000002</v>
      </c>
      <c r="X172" s="399">
        <v>4169.3225700000003</v>
      </c>
      <c r="Y172" s="399">
        <v>0</v>
      </c>
      <c r="Z172" s="399">
        <v>348.25781630728034</v>
      </c>
      <c r="AA172" s="399">
        <v>0</v>
      </c>
      <c r="AB172" s="399">
        <v>0</v>
      </c>
      <c r="AC172" s="399">
        <v>0</v>
      </c>
      <c r="AD172" s="399">
        <v>615.01674657719275</v>
      </c>
      <c r="AE172" s="399">
        <v>2913.0467034084381</v>
      </c>
      <c r="AF172" s="399">
        <v>686.13040567801238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53.817081972750387</v>
      </c>
      <c r="AM172" s="399"/>
      <c r="AN172" s="399">
        <v>12.303277558151978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101.64043284328004</v>
      </c>
      <c r="BH172" s="399">
        <v>0</v>
      </c>
      <c r="BI172" s="399">
        <v>0</v>
      </c>
      <c r="BJ172" s="399">
        <v>0</v>
      </c>
      <c r="BK172" s="399">
        <v>1577.05</v>
      </c>
      <c r="BL172" s="399">
        <v>7</v>
      </c>
      <c r="BM172" s="399"/>
      <c r="BN172" s="399"/>
      <c r="BO172" s="399"/>
      <c r="BP172" s="399"/>
      <c r="BQ172" s="399">
        <v>250.1593542</v>
      </c>
      <c r="BR172" s="399"/>
      <c r="BS172" s="399"/>
      <c r="BT172" s="399"/>
      <c r="BU172" s="399"/>
      <c r="BV172" s="399">
        <v>787.77083852129238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3922.1813999999995</v>
      </c>
      <c r="CJ172" s="399">
        <v>-524.22240600000168</v>
      </c>
      <c r="CK172" s="399"/>
      <c r="CL172" s="399"/>
      <c r="CM172" s="399"/>
      <c r="CN172" s="399"/>
      <c r="CO172" s="399">
        <v>-560.86233000000027</v>
      </c>
      <c r="CP172" s="399">
        <v>0</v>
      </c>
      <c r="CQ172" s="399">
        <v>29</v>
      </c>
      <c r="CR172" s="399">
        <v>-43.226053711298846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-3.2904502249704137</v>
      </c>
      <c r="DA172" s="399">
        <v>0</v>
      </c>
      <c r="DB172" s="399">
        <v>0</v>
      </c>
      <c r="DC172" s="399">
        <v>0</v>
      </c>
      <c r="DD172" s="399">
        <v>0</v>
      </c>
      <c r="DE172" s="399">
        <v>0</v>
      </c>
      <c r="DF172" s="399">
        <v>0</v>
      </c>
      <c r="DG172" s="399">
        <v>0</v>
      </c>
      <c r="DH172" s="399">
        <v>0</v>
      </c>
      <c r="DI172" s="399">
        <v>-34.332044395157538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-4.5862004787180339</v>
      </c>
      <c r="DP172" s="399">
        <v>-1.0173586124527052</v>
      </c>
      <c r="DQ172" s="399">
        <v>0</v>
      </c>
      <c r="DR172" s="399">
        <v>0</v>
      </c>
      <c r="DS172" s="399"/>
      <c r="DT172" s="399"/>
      <c r="DU172" s="399"/>
      <c r="DV172" s="399">
        <v>2913.0467034084381</v>
      </c>
      <c r="DW172" s="399">
        <v>0</v>
      </c>
      <c r="DX172" s="399">
        <v>0</v>
      </c>
      <c r="DY172" s="399">
        <v>-560.86232999999993</v>
      </c>
      <c r="DZ172" s="399">
        <v>0</v>
      </c>
      <c r="EA172" s="399">
        <v>0</v>
      </c>
      <c r="EB172" s="399">
        <v>0</v>
      </c>
      <c r="EC172" s="399">
        <v>-517.63082725904223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229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954</v>
      </c>
      <c r="C173" s="399" t="s">
        <v>2344</v>
      </c>
      <c r="D173" s="399" t="s">
        <v>533</v>
      </c>
      <c r="E173" s="399" t="s">
        <v>919</v>
      </c>
      <c r="F173" s="399" t="s">
        <v>2352</v>
      </c>
      <c r="G173" s="399" t="s">
        <v>1237</v>
      </c>
      <c r="H173" s="399" t="s">
        <v>1237</v>
      </c>
      <c r="I173" s="399" t="s">
        <v>891</v>
      </c>
      <c r="J173" s="399" t="s">
        <v>2337</v>
      </c>
      <c r="K173" s="788">
        <v>44593</v>
      </c>
      <c r="L173" s="399">
        <v>0</v>
      </c>
      <c r="M173" s="399">
        <v>0</v>
      </c>
      <c r="N173" s="399">
        <v>3.3929999999999998</v>
      </c>
      <c r="O173" s="399">
        <v>3.1894200000000001</v>
      </c>
      <c r="P173" s="399">
        <v>3.3929999999999998</v>
      </c>
      <c r="Q173" s="399">
        <v>3.1894200000000001</v>
      </c>
      <c r="R173" s="399"/>
      <c r="S173" s="399">
        <v>3312.96</v>
      </c>
      <c r="T173" s="399">
        <v>119.97</v>
      </c>
      <c r="U173" s="399"/>
      <c r="V173" s="399">
        <v>11647.931489999999</v>
      </c>
      <c r="W173" s="399">
        <v>11647.931489999999</v>
      </c>
      <c r="X173" s="399">
        <v>10110.49533</v>
      </c>
      <c r="Y173" s="399">
        <v>0</v>
      </c>
      <c r="Z173" s="399">
        <v>179.7562039754543</v>
      </c>
      <c r="AA173" s="399">
        <v>0</v>
      </c>
      <c r="AB173" s="399">
        <v>0</v>
      </c>
      <c r="AC173" s="399">
        <v>0</v>
      </c>
      <c r="AD173" s="399">
        <v>2536.7391422363712</v>
      </c>
      <c r="AE173" s="399">
        <v>8459.3964212405826</v>
      </c>
      <c r="AF173" s="399">
        <v>407.07124785198386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31.928896508750139</v>
      </c>
      <c r="AM173" s="399"/>
      <c r="AN173" s="399">
        <v>2.852603650732064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30.210754244865363</v>
      </c>
      <c r="BH173" s="399">
        <v>0</v>
      </c>
      <c r="BI173" s="399">
        <v>0</v>
      </c>
      <c r="BJ173" s="399">
        <v>0</v>
      </c>
      <c r="BK173" s="399">
        <v>0</v>
      </c>
      <c r="BL173" s="399">
        <v>0</v>
      </c>
      <c r="BM173" s="399"/>
      <c r="BN173" s="399"/>
      <c r="BO173" s="399"/>
      <c r="BP173" s="399"/>
      <c r="BQ173" s="399">
        <v>606.62971979999895</v>
      </c>
      <c r="BR173" s="399"/>
      <c r="BS173" s="399"/>
      <c r="BT173" s="399"/>
      <c r="BU173" s="399"/>
      <c r="BV173" s="399">
        <v>437.28200209684923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9505.5938999999998</v>
      </c>
      <c r="CJ173" s="399">
        <v>-1443.4917006000014</v>
      </c>
      <c r="CK173" s="399"/>
      <c r="CL173" s="399"/>
      <c r="CM173" s="399"/>
      <c r="CN173" s="399"/>
      <c r="CO173" s="399">
        <v>-1537.4361599999995</v>
      </c>
      <c r="CP173" s="399">
        <v>0</v>
      </c>
      <c r="CQ173" s="399">
        <v>29</v>
      </c>
      <c r="CR173" s="399">
        <v>-34.249592850464978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-13.572010726087228</v>
      </c>
      <c r="DA173" s="399">
        <v>0</v>
      </c>
      <c r="DB173" s="399">
        <v>0</v>
      </c>
      <c r="DC173" s="399">
        <v>0</v>
      </c>
      <c r="DD173" s="399">
        <v>0</v>
      </c>
      <c r="DE173" s="399">
        <v>0</v>
      </c>
      <c r="DF173" s="399">
        <v>0</v>
      </c>
      <c r="DG173" s="399">
        <v>0</v>
      </c>
      <c r="DH173" s="399">
        <v>0</v>
      </c>
      <c r="DI173" s="399">
        <v>-17.72077376648167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-2.7209264249502176</v>
      </c>
      <c r="DP173" s="399">
        <v>-0.2358819329458548</v>
      </c>
      <c r="DQ173" s="399">
        <v>0</v>
      </c>
      <c r="DR173" s="399">
        <v>0</v>
      </c>
      <c r="DS173" s="399"/>
      <c r="DT173" s="399"/>
      <c r="DU173" s="399"/>
      <c r="DV173" s="399">
        <v>8459.3964212405826</v>
      </c>
      <c r="DW173" s="399">
        <v>0</v>
      </c>
      <c r="DX173" s="399">
        <v>0</v>
      </c>
      <c r="DY173" s="399">
        <v>-1537.4361599999993</v>
      </c>
      <c r="DZ173" s="399">
        <v>0</v>
      </c>
      <c r="EA173" s="399">
        <v>0</v>
      </c>
      <c r="EB173" s="399">
        <v>0</v>
      </c>
      <c r="EC173" s="399">
        <v>-1503.1837157006121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229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954</v>
      </c>
      <c r="C174" s="399" t="s">
        <v>2344</v>
      </c>
      <c r="D174" s="399" t="s">
        <v>533</v>
      </c>
      <c r="E174" s="399" t="s">
        <v>919</v>
      </c>
      <c r="F174" s="399" t="s">
        <v>2352</v>
      </c>
      <c r="G174" s="399" t="s">
        <v>1237</v>
      </c>
      <c r="H174" s="399" t="s">
        <v>1237</v>
      </c>
      <c r="I174" s="399" t="s">
        <v>2322</v>
      </c>
      <c r="J174" s="399" t="s">
        <v>2337</v>
      </c>
      <c r="K174" s="788">
        <v>44593</v>
      </c>
      <c r="L174" s="399">
        <v>0</v>
      </c>
      <c r="M174" s="399">
        <v>0</v>
      </c>
      <c r="N174" s="399">
        <v>27.297999999999998</v>
      </c>
      <c r="O174" s="399">
        <v>25.660119999999999</v>
      </c>
      <c r="P174" s="399">
        <v>27.297999999999998</v>
      </c>
      <c r="Q174" s="399">
        <v>25.660119999999999</v>
      </c>
      <c r="R174" s="399"/>
      <c r="S174" s="399">
        <v>72.13</v>
      </c>
      <c r="T174" s="399">
        <v>119.97</v>
      </c>
      <c r="U174" s="399"/>
      <c r="V174" s="399">
        <v>5243.9457999999995</v>
      </c>
      <c r="W174" s="399">
        <v>5243.9457999999995</v>
      </c>
      <c r="X174" s="399">
        <v>5077.7009799999996</v>
      </c>
      <c r="Y174" s="399">
        <v>0</v>
      </c>
      <c r="Z174" s="399">
        <v>1446.2083277695112</v>
      </c>
      <c r="AA174" s="399">
        <v>0</v>
      </c>
      <c r="AB174" s="399">
        <v>0</v>
      </c>
      <c r="AC174" s="399">
        <v>0</v>
      </c>
      <c r="AD174" s="399">
        <v>0</v>
      </c>
      <c r="AE174" s="399">
        <v>0</v>
      </c>
      <c r="AF174" s="399">
        <v>3275.0459545721942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256.88034685996502</v>
      </c>
      <c r="AM174" s="399"/>
      <c r="AN174" s="399">
        <v>22.950301932709664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243.05722645927932</v>
      </c>
      <c r="BH174" s="399">
        <v>0</v>
      </c>
      <c r="BI174" s="399">
        <v>0</v>
      </c>
      <c r="BJ174" s="399">
        <v>0</v>
      </c>
      <c r="BK174" s="399">
        <v>0</v>
      </c>
      <c r="BL174" s="399">
        <v>0</v>
      </c>
      <c r="BM174" s="399"/>
      <c r="BN174" s="399"/>
      <c r="BO174" s="399"/>
      <c r="BP174" s="399"/>
      <c r="BQ174" s="399">
        <v>304.66205879999984</v>
      </c>
      <c r="BR174" s="399"/>
      <c r="BS174" s="399"/>
      <c r="BT174" s="399"/>
      <c r="BU174" s="399"/>
      <c r="BV174" s="399">
        <v>3518.1031810314735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4773.0165999999999</v>
      </c>
      <c r="CJ174" s="399">
        <v>-156.32245199999943</v>
      </c>
      <c r="CK174" s="399"/>
      <c r="CL174" s="399"/>
      <c r="CM174" s="399"/>
      <c r="CN174" s="399"/>
      <c r="CO174" s="399">
        <v>-166.24481999999969</v>
      </c>
      <c r="CP174" s="399">
        <v>0</v>
      </c>
      <c r="CQ174" s="399">
        <v>29</v>
      </c>
      <c r="CR174" s="399">
        <v>-166.35916204870773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0</v>
      </c>
      <c r="DA174" s="399">
        <v>0</v>
      </c>
      <c r="DB174" s="399">
        <v>0</v>
      </c>
      <c r="DC174" s="399">
        <v>0</v>
      </c>
      <c r="DD174" s="399">
        <v>0</v>
      </c>
      <c r="DE174" s="399">
        <v>0</v>
      </c>
      <c r="DF174" s="399">
        <v>0</v>
      </c>
      <c r="DG174" s="399">
        <v>0</v>
      </c>
      <c r="DH174" s="399">
        <v>0</v>
      </c>
      <c r="DI174" s="399">
        <v>-142.57049286101301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-21.890907618122895</v>
      </c>
      <c r="DP174" s="399">
        <v>-1.897761569571454</v>
      </c>
      <c r="DQ174" s="399">
        <v>0</v>
      </c>
      <c r="DR174" s="399">
        <v>0</v>
      </c>
      <c r="DS174" s="399"/>
      <c r="DT174" s="399"/>
      <c r="DU174" s="399"/>
      <c r="DV174" s="399">
        <v>0</v>
      </c>
      <c r="DW174" s="399">
        <v>0</v>
      </c>
      <c r="DX174" s="399">
        <v>0</v>
      </c>
      <c r="DY174" s="399">
        <v>-166.24481999999989</v>
      </c>
      <c r="DZ174" s="399">
        <v>0</v>
      </c>
      <c r="EA174" s="399">
        <v>0</v>
      </c>
      <c r="EB174" s="399">
        <v>0</v>
      </c>
      <c r="EC174" s="399">
        <v>0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229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954</v>
      </c>
      <c r="C175" s="399" t="s">
        <v>2344</v>
      </c>
      <c r="D175" s="399" t="s">
        <v>533</v>
      </c>
      <c r="E175" s="399" t="s">
        <v>919</v>
      </c>
      <c r="F175" s="399" t="s">
        <v>2352</v>
      </c>
      <c r="G175" s="399" t="s">
        <v>1237</v>
      </c>
      <c r="H175" s="399" t="s">
        <v>1237</v>
      </c>
      <c r="I175" s="399" t="s">
        <v>1237</v>
      </c>
      <c r="J175" s="399" t="s">
        <v>2337</v>
      </c>
      <c r="K175" s="788">
        <v>44593</v>
      </c>
      <c r="L175" s="399">
        <v>100</v>
      </c>
      <c r="M175" s="399">
        <v>94</v>
      </c>
      <c r="N175" s="399">
        <v>0</v>
      </c>
      <c r="O175" s="399">
        <v>0</v>
      </c>
      <c r="P175" s="399">
        <v>0</v>
      </c>
      <c r="Q175" s="399">
        <v>0</v>
      </c>
      <c r="R175" s="399">
        <v>46.29</v>
      </c>
      <c r="S175" s="399"/>
      <c r="T175" s="399"/>
      <c r="U175" s="399">
        <v>4629</v>
      </c>
      <c r="V175" s="399"/>
      <c r="W175" s="399">
        <v>4629</v>
      </c>
      <c r="X175" s="399">
        <v>4115</v>
      </c>
      <c r="Y175" s="399">
        <v>0</v>
      </c>
      <c r="Z175" s="399">
        <v>0</v>
      </c>
      <c r="AA175" s="399">
        <v>0</v>
      </c>
      <c r="AB175" s="399">
        <v>0</v>
      </c>
      <c r="AC175" s="399">
        <v>0</v>
      </c>
      <c r="AD175" s="399">
        <v>1791.3012373515901</v>
      </c>
      <c r="AE175" s="399">
        <v>2837.3428309380402</v>
      </c>
      <c r="AF175" s="399"/>
      <c r="AG175" s="399"/>
      <c r="AH175" s="399"/>
      <c r="AI175" s="399">
        <v>0</v>
      </c>
      <c r="AJ175" s="399">
        <v>0</v>
      </c>
      <c r="AK175" s="399">
        <v>0</v>
      </c>
      <c r="AL175" s="399">
        <v>0</v>
      </c>
      <c r="AM175" s="399"/>
      <c r="AN175" s="399">
        <v>0</v>
      </c>
      <c r="AO175" s="399">
        <v>0</v>
      </c>
      <c r="AP175" s="399">
        <v>0</v>
      </c>
      <c r="AQ175" s="399">
        <v>0</v>
      </c>
      <c r="AR175" s="399">
        <v>0</v>
      </c>
      <c r="AS175" s="399"/>
      <c r="AT175" s="399"/>
      <c r="AU175" s="399">
        <v>0</v>
      </c>
      <c r="AV175" s="399">
        <v>0</v>
      </c>
      <c r="AW175" s="399">
        <v>0</v>
      </c>
      <c r="AX175" s="399"/>
      <c r="AY175" s="399"/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/>
      <c r="BG175" s="399">
        <v>0</v>
      </c>
      <c r="BH175" s="399">
        <v>0</v>
      </c>
      <c r="BI175" s="399">
        <v>0</v>
      </c>
      <c r="BJ175" s="399">
        <v>0</v>
      </c>
      <c r="BK175" s="399">
        <v>7501.04</v>
      </c>
      <c r="BL175" s="399">
        <v>1</v>
      </c>
      <c r="BM175" s="399"/>
      <c r="BN175" s="399"/>
      <c r="BO175" s="399"/>
      <c r="BP175" s="399"/>
      <c r="BQ175" s="399">
        <v>246.89999999999998</v>
      </c>
      <c r="BR175" s="399"/>
      <c r="BS175" s="399"/>
      <c r="BT175" s="399"/>
      <c r="BU175" s="399"/>
      <c r="BV175" s="399">
        <v>0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3868.1</v>
      </c>
      <c r="CJ175" s="399">
        <v>-483.19000000000096</v>
      </c>
      <c r="CK175" s="399"/>
      <c r="CL175" s="399"/>
      <c r="CM175" s="399"/>
      <c r="CN175" s="399"/>
      <c r="CO175" s="399">
        <v>-514</v>
      </c>
      <c r="CP175" s="399">
        <v>0</v>
      </c>
      <c r="CQ175" s="399">
        <v>29</v>
      </c>
      <c r="CR175" s="399">
        <v>-9.5837838436800666</v>
      </c>
      <c r="CS175" s="399">
        <v>0</v>
      </c>
      <c r="CT175" s="399">
        <v>0</v>
      </c>
      <c r="CU175" s="399">
        <v>0</v>
      </c>
      <c r="CV175" s="399">
        <v>0</v>
      </c>
      <c r="CW175" s="399"/>
      <c r="CX175" s="399"/>
      <c r="CY175" s="399"/>
      <c r="CZ175" s="399">
        <v>-9.5837838436800666</v>
      </c>
      <c r="DA175" s="399">
        <v>0</v>
      </c>
      <c r="DB175" s="399">
        <v>0</v>
      </c>
      <c r="DC175" s="399"/>
      <c r="DD175" s="399"/>
      <c r="DE175" s="399">
        <v>0</v>
      </c>
      <c r="DF175" s="399">
        <v>0</v>
      </c>
      <c r="DG175" s="399">
        <v>0</v>
      </c>
      <c r="DH175" s="399">
        <v>0</v>
      </c>
      <c r="DI175" s="399">
        <v>0</v>
      </c>
      <c r="DJ175" s="399"/>
      <c r="DK175" s="399">
        <v>0</v>
      </c>
      <c r="DL175" s="399">
        <v>0</v>
      </c>
      <c r="DM175" s="399"/>
      <c r="DN175" s="399">
        <v>0</v>
      </c>
      <c r="DO175" s="399">
        <v>0</v>
      </c>
      <c r="DP175" s="399">
        <v>0</v>
      </c>
      <c r="DQ175" s="399">
        <v>0</v>
      </c>
      <c r="DR175" s="399">
        <v>0</v>
      </c>
      <c r="DS175" s="399"/>
      <c r="DT175" s="399"/>
      <c r="DU175" s="399">
        <v>2837.3428309380402</v>
      </c>
      <c r="DV175" s="399"/>
      <c r="DW175" s="399">
        <v>0</v>
      </c>
      <c r="DX175" s="399">
        <v>0</v>
      </c>
      <c r="DY175" s="399">
        <v>-514</v>
      </c>
      <c r="DZ175" s="399"/>
      <c r="EA175" s="399">
        <v>0</v>
      </c>
      <c r="EB175" s="399"/>
      <c r="EC175" s="399">
        <v>-504.17870577822032</v>
      </c>
      <c r="ED175" s="399"/>
      <c r="EE175" s="399">
        <v>0</v>
      </c>
      <c r="EF175" s="399">
        <v>0</v>
      </c>
      <c r="EG175" s="399"/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/>
      <c r="EN175" s="399"/>
      <c r="EO175" s="399">
        <v>0</v>
      </c>
      <c r="EP175" s="399">
        <v>0</v>
      </c>
      <c r="EQ175" s="399"/>
      <c r="ER175" s="399">
        <v>0</v>
      </c>
      <c r="ES175" s="399"/>
      <c r="ET175" s="399">
        <v>0</v>
      </c>
      <c r="EU175" s="399"/>
      <c r="EV175" s="399">
        <v>229</v>
      </c>
      <c r="EW175" s="399"/>
      <c r="EX175" s="399"/>
      <c r="EY175" s="399"/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954</v>
      </c>
      <c r="C176" s="399" t="s">
        <v>2336</v>
      </c>
      <c r="D176" s="399" t="s">
        <v>1819</v>
      </c>
      <c r="E176" s="399" t="s">
        <v>887</v>
      </c>
      <c r="F176" s="399" t="s">
        <v>887</v>
      </c>
      <c r="G176" s="399" t="s">
        <v>1237</v>
      </c>
      <c r="H176" s="399" t="s">
        <v>1237</v>
      </c>
      <c r="I176" s="399" t="s">
        <v>1237</v>
      </c>
      <c r="J176" s="399" t="s">
        <v>2337</v>
      </c>
      <c r="K176" s="788">
        <v>44621</v>
      </c>
      <c r="L176" s="399">
        <v>0</v>
      </c>
      <c r="M176" s="399">
        <v>0</v>
      </c>
      <c r="N176" s="399">
        <v>772.06100000000004</v>
      </c>
      <c r="O176" s="399">
        <v>772.06100000000004</v>
      </c>
      <c r="P176" s="399">
        <v>772.06100000000004</v>
      </c>
      <c r="Q176" s="399">
        <v>772.06100000000004</v>
      </c>
      <c r="R176" s="399"/>
      <c r="S176" s="399">
        <v>707.13</v>
      </c>
      <c r="T176" s="399">
        <v>119.97</v>
      </c>
      <c r="U176" s="399"/>
      <c r="V176" s="399">
        <v>638571.6531</v>
      </c>
      <c r="W176" s="399">
        <v>638571.6531</v>
      </c>
      <c r="X176" s="399">
        <v>562855.63082999992</v>
      </c>
      <c r="Y176" s="399">
        <v>0</v>
      </c>
      <c r="Z176" s="399">
        <v>47014.561621964531</v>
      </c>
      <c r="AA176" s="399">
        <v>0</v>
      </c>
      <c r="AB176" s="399">
        <v>0</v>
      </c>
      <c r="AC176" s="399">
        <v>0</v>
      </c>
      <c r="AD176" s="399">
        <v>83026.830631077813</v>
      </c>
      <c r="AE176" s="399">
        <v>393259.26750834449</v>
      </c>
      <c r="AF176" s="399">
        <v>92627.124871161373</v>
      </c>
      <c r="AG176" s="399">
        <v>0</v>
      </c>
      <c r="AH176" s="399">
        <v>0</v>
      </c>
      <c r="AI176" s="399">
        <v>0</v>
      </c>
      <c r="AJ176" s="399">
        <v>0</v>
      </c>
      <c r="AK176" s="399">
        <v>0</v>
      </c>
      <c r="AL176" s="399">
        <v>7265.2684254176665</v>
      </c>
      <c r="AM176" s="399"/>
      <c r="AN176" s="399">
        <v>1660.933865155512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>
        <v>0</v>
      </c>
      <c r="BG176" s="399">
        <v>13721.387344188779</v>
      </c>
      <c r="BH176" s="399">
        <v>0</v>
      </c>
      <c r="BI176" s="399">
        <v>0</v>
      </c>
      <c r="BJ176" s="399">
        <v>0</v>
      </c>
      <c r="BK176" s="399">
        <v>161063.95000000001</v>
      </c>
      <c r="BL176" s="399">
        <v>3120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>
        <v>106348.51221535016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562854.90179999988</v>
      </c>
      <c r="CJ176" s="399">
        <v>-75716.781300000148</v>
      </c>
      <c r="CK176" s="399"/>
      <c r="CL176" s="399"/>
      <c r="CM176" s="399"/>
      <c r="CN176" s="399"/>
      <c r="CO176" s="399">
        <v>-75716.022270000045</v>
      </c>
      <c r="CP176" s="399">
        <v>0</v>
      </c>
      <c r="CQ176" s="399">
        <v>31</v>
      </c>
      <c r="CR176" s="399">
        <v>-5835.4870177301927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-444.2084789545188</v>
      </c>
      <c r="DA176" s="399">
        <v>0</v>
      </c>
      <c r="DB176" s="399">
        <v>0</v>
      </c>
      <c r="DC176" s="399">
        <v>0</v>
      </c>
      <c r="DD176" s="399">
        <v>0</v>
      </c>
      <c r="DE176" s="399">
        <v>0</v>
      </c>
      <c r="DF176" s="399">
        <v>0</v>
      </c>
      <c r="DG176" s="399">
        <v>0</v>
      </c>
      <c r="DH176" s="399">
        <v>0</v>
      </c>
      <c r="DI176" s="399">
        <v>-4634.801980725606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-619.1338569329464</v>
      </c>
      <c r="DP176" s="399">
        <v>-137.34270111712658</v>
      </c>
      <c r="DQ176" s="399">
        <v>0</v>
      </c>
      <c r="DR176" s="399">
        <v>0</v>
      </c>
      <c r="DS176" s="399"/>
      <c r="DT176" s="399"/>
      <c r="DU176" s="399"/>
      <c r="DV176" s="399">
        <v>393259.26750834449</v>
      </c>
      <c r="DW176" s="399">
        <v>0</v>
      </c>
      <c r="DX176" s="399">
        <v>0</v>
      </c>
      <c r="DY176" s="399">
        <v>-75716.022270000074</v>
      </c>
      <c r="DZ176" s="399">
        <v>0</v>
      </c>
      <c r="EA176" s="399">
        <v>0</v>
      </c>
      <c r="EB176" s="399">
        <v>0</v>
      </c>
      <c r="EC176" s="399">
        <v>-69879.799637077027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0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229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2338</v>
      </c>
      <c r="C177" s="399" t="s">
        <v>2336</v>
      </c>
      <c r="D177" s="399" t="s">
        <v>1819</v>
      </c>
      <c r="E177" s="399" t="s">
        <v>887</v>
      </c>
      <c r="F177" s="399" t="s">
        <v>887</v>
      </c>
      <c r="G177" s="399" t="s">
        <v>1237</v>
      </c>
      <c r="H177" s="399" t="s">
        <v>1237</v>
      </c>
      <c r="I177" s="399" t="s">
        <v>1237</v>
      </c>
      <c r="J177" s="399" t="s">
        <v>2337</v>
      </c>
      <c r="K177" s="788">
        <v>44621</v>
      </c>
      <c r="L177" s="399">
        <v>0</v>
      </c>
      <c r="M177" s="399">
        <v>0</v>
      </c>
      <c r="N177" s="399">
        <v>-190.22</v>
      </c>
      <c r="O177" s="399">
        <v>-190.22</v>
      </c>
      <c r="P177" s="399">
        <v>-190.22</v>
      </c>
      <c r="Q177" s="399">
        <v>-190.22</v>
      </c>
      <c r="R177" s="399"/>
      <c r="S177" s="399">
        <v>707.13</v>
      </c>
      <c r="T177" s="399">
        <v>119.97</v>
      </c>
      <c r="U177" s="399"/>
      <c r="V177" s="399">
        <v>-157330.962</v>
      </c>
      <c r="W177" s="399">
        <v>-157330.962</v>
      </c>
      <c r="X177" s="399">
        <v>-138676.08659999998</v>
      </c>
      <c r="Y177" s="399">
        <v>0</v>
      </c>
      <c r="Z177" s="399">
        <v>-11583.423993350387</v>
      </c>
      <c r="AA177" s="399">
        <v>0</v>
      </c>
      <c r="AB177" s="399">
        <v>0</v>
      </c>
      <c r="AC177" s="399">
        <v>0</v>
      </c>
      <c r="AD177" s="399">
        <v>-20456.10867877489</v>
      </c>
      <c r="AE177" s="399">
        <v>-96891.020094833555</v>
      </c>
      <c r="AF177" s="399">
        <v>-22821.424334336687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-1790.0131723826855</v>
      </c>
      <c r="AM177" s="399"/>
      <c r="AN177" s="399">
        <v>-409.22004845456706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-3380.6684971933428</v>
      </c>
      <c r="BH177" s="399">
        <v>0</v>
      </c>
      <c r="BI177" s="399">
        <v>0</v>
      </c>
      <c r="BJ177" s="399">
        <v>0</v>
      </c>
      <c r="BK177" s="399">
        <v>-55109.64</v>
      </c>
      <c r="BL177" s="399">
        <v>0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-26202.09283153003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-138676.08659999998</v>
      </c>
      <c r="CJ177" s="399">
        <v>18654.845399999991</v>
      </c>
      <c r="CK177" s="399"/>
      <c r="CL177" s="399"/>
      <c r="CM177" s="399"/>
      <c r="CN177" s="399"/>
      <c r="CO177" s="399">
        <v>18654.875400000008</v>
      </c>
      <c r="CP177" s="399">
        <v>0</v>
      </c>
      <c r="CQ177" s="399">
        <v>31</v>
      </c>
      <c r="CR177" s="399">
        <v>1437.7443498799184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109.44386112849679</v>
      </c>
      <c r="DA177" s="399">
        <v>0</v>
      </c>
      <c r="DB177" s="399">
        <v>0</v>
      </c>
      <c r="DC177" s="399">
        <v>0</v>
      </c>
      <c r="DD177" s="399">
        <v>0</v>
      </c>
      <c r="DE177" s="399">
        <v>0</v>
      </c>
      <c r="DF177" s="399">
        <v>0</v>
      </c>
      <c r="DG177" s="399">
        <v>0</v>
      </c>
      <c r="DH177" s="399">
        <v>0</v>
      </c>
      <c r="DI177" s="399">
        <v>1141.9201757032479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152.54188757855309</v>
      </c>
      <c r="DP177" s="399">
        <v>33.838425469619438</v>
      </c>
      <c r="DQ177" s="399">
        <v>0</v>
      </c>
      <c r="DR177" s="399">
        <v>0</v>
      </c>
      <c r="DS177" s="399"/>
      <c r="DT177" s="399"/>
      <c r="DU177" s="399"/>
      <c r="DV177" s="399">
        <v>-96891.020094833555</v>
      </c>
      <c r="DW177" s="399">
        <v>0</v>
      </c>
      <c r="DX177" s="399">
        <v>0</v>
      </c>
      <c r="DY177" s="399">
        <v>18654.875400000019</v>
      </c>
      <c r="DZ177" s="399">
        <v>0</v>
      </c>
      <c r="EA177" s="399">
        <v>0</v>
      </c>
      <c r="EB177" s="399">
        <v>0</v>
      </c>
      <c r="EC177" s="399">
        <v>17216.949809619691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229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2339</v>
      </c>
      <c r="C178" s="399" t="s">
        <v>2336</v>
      </c>
      <c r="D178" s="399" t="s">
        <v>1819</v>
      </c>
      <c r="E178" s="399" t="s">
        <v>887</v>
      </c>
      <c r="F178" s="399" t="s">
        <v>887</v>
      </c>
      <c r="G178" s="399" t="s">
        <v>1237</v>
      </c>
      <c r="H178" s="399" t="s">
        <v>1237</v>
      </c>
      <c r="I178" s="399" t="s">
        <v>1237</v>
      </c>
      <c r="J178" s="399" t="s">
        <v>2337</v>
      </c>
      <c r="K178" s="788">
        <v>44621</v>
      </c>
      <c r="L178" s="399">
        <v>0</v>
      </c>
      <c r="M178" s="399">
        <v>0</v>
      </c>
      <c r="N178" s="399">
        <v>10.331</v>
      </c>
      <c r="O178" s="399">
        <v>10.331</v>
      </c>
      <c r="P178" s="399">
        <v>10.331</v>
      </c>
      <c r="Q178" s="399">
        <v>10.331</v>
      </c>
      <c r="R178" s="399"/>
      <c r="S178" s="399">
        <v>707.13</v>
      </c>
      <c r="T178" s="399">
        <v>119.97</v>
      </c>
      <c r="U178" s="399"/>
      <c r="V178" s="399">
        <v>8544.7700999999997</v>
      </c>
      <c r="W178" s="399">
        <v>8544.7700999999997</v>
      </c>
      <c r="X178" s="399">
        <v>7531.6089299999994</v>
      </c>
      <c r="Y178" s="399">
        <v>0</v>
      </c>
      <c r="Z178" s="399">
        <v>629.1050009215794</v>
      </c>
      <c r="AA178" s="399">
        <v>0</v>
      </c>
      <c r="AB178" s="399">
        <v>0</v>
      </c>
      <c r="AC178" s="399">
        <v>0</v>
      </c>
      <c r="AD178" s="399">
        <v>1110.987586796464</v>
      </c>
      <c r="AE178" s="399">
        <v>5262.2286226460174</v>
      </c>
      <c r="AF178" s="399">
        <v>1239.449767627128</v>
      </c>
      <c r="AG178" s="399">
        <v>0</v>
      </c>
      <c r="AH178" s="399">
        <v>0</v>
      </c>
      <c r="AI178" s="399">
        <v>0</v>
      </c>
      <c r="AJ178" s="399">
        <v>0</v>
      </c>
      <c r="AK178" s="399">
        <v>0</v>
      </c>
      <c r="AL178" s="399">
        <v>97.217043864396601</v>
      </c>
      <c r="AM178" s="399"/>
      <c r="AN178" s="399">
        <v>22.225067398717968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183.6068039349407</v>
      </c>
      <c r="BH178" s="399">
        <v>0</v>
      </c>
      <c r="BI178" s="399">
        <v>0</v>
      </c>
      <c r="BJ178" s="399">
        <v>0</v>
      </c>
      <c r="BK178" s="399">
        <v>4985.8</v>
      </c>
      <c r="BL178" s="399">
        <v>42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1423.0565715620687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7530.8798999999999</v>
      </c>
      <c r="CJ178" s="399">
        <v>-1013.9202000000005</v>
      </c>
      <c r="CK178" s="399"/>
      <c r="CL178" s="399"/>
      <c r="CM178" s="399"/>
      <c r="CN178" s="399"/>
      <c r="CO178" s="399">
        <v>-1013.1611700000004</v>
      </c>
      <c r="CP178" s="399">
        <v>0</v>
      </c>
      <c r="CQ178" s="399">
        <v>31</v>
      </c>
      <c r="CR178" s="399">
        <v>-78.085042995528511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-5.9439834366444302</v>
      </c>
      <c r="DA178" s="399">
        <v>0</v>
      </c>
      <c r="DB178" s="399">
        <v>0</v>
      </c>
      <c r="DC178" s="399">
        <v>0</v>
      </c>
      <c r="DD178" s="399">
        <v>0</v>
      </c>
      <c r="DE178" s="399">
        <v>0</v>
      </c>
      <c r="DF178" s="399">
        <v>0</v>
      </c>
      <c r="DG178" s="399">
        <v>0</v>
      </c>
      <c r="DH178" s="399">
        <v>0</v>
      </c>
      <c r="DI178" s="399">
        <v>-62.01859602139757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-8.2846716463780297</v>
      </c>
      <c r="DP178" s="399">
        <v>-1.8377918911083917</v>
      </c>
      <c r="DQ178" s="399">
        <v>0</v>
      </c>
      <c r="DR178" s="399">
        <v>0</v>
      </c>
      <c r="DS178" s="399"/>
      <c r="DT178" s="399"/>
      <c r="DU178" s="399"/>
      <c r="DV178" s="399">
        <v>5262.2286226460174</v>
      </c>
      <c r="DW178" s="399">
        <v>0</v>
      </c>
      <c r="DX178" s="399">
        <v>0</v>
      </c>
      <c r="DY178" s="399">
        <v>-1013.1611700000003</v>
      </c>
      <c r="DZ178" s="399">
        <v>0</v>
      </c>
      <c r="EA178" s="399">
        <v>0</v>
      </c>
      <c r="EB178" s="399">
        <v>0</v>
      </c>
      <c r="EC178" s="399">
        <v>-935.06628368826114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0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229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954</v>
      </c>
      <c r="C179" s="399" t="s">
        <v>2336</v>
      </c>
      <c r="D179" s="399" t="s">
        <v>1819</v>
      </c>
      <c r="E179" s="399" t="s">
        <v>887</v>
      </c>
      <c r="F179" s="399" t="s">
        <v>2340</v>
      </c>
      <c r="G179" s="399" t="s">
        <v>1237</v>
      </c>
      <c r="H179" s="399" t="s">
        <v>1237</v>
      </c>
      <c r="I179" s="399" t="s">
        <v>1237</v>
      </c>
      <c r="J179" s="399" t="s">
        <v>2337</v>
      </c>
      <c r="K179" s="788">
        <v>44621</v>
      </c>
      <c r="L179" s="399">
        <v>0</v>
      </c>
      <c r="M179" s="399">
        <v>0</v>
      </c>
      <c r="N179" s="399">
        <v>4.53</v>
      </c>
      <c r="O179" s="399">
        <v>4.53</v>
      </c>
      <c r="P179" s="399">
        <v>4.53</v>
      </c>
      <c r="Q179" s="399">
        <v>4.53</v>
      </c>
      <c r="R179" s="399"/>
      <c r="S179" s="399">
        <v>636.83000000000004</v>
      </c>
      <c r="T179" s="399">
        <v>119.97</v>
      </c>
      <c r="U179" s="399"/>
      <c r="V179" s="399">
        <v>3428.3040000000005</v>
      </c>
      <c r="W179" s="399">
        <v>3428.3040000000005</v>
      </c>
      <c r="X179" s="399">
        <v>3014.8508999999999</v>
      </c>
      <c r="Y179" s="399">
        <v>0</v>
      </c>
      <c r="Z179" s="399">
        <v>0</v>
      </c>
      <c r="AA179" s="399">
        <v>0</v>
      </c>
      <c r="AB179" s="399">
        <v>0</v>
      </c>
      <c r="AC179" s="399">
        <v>0</v>
      </c>
      <c r="AD179" s="399">
        <v>487.15262493349945</v>
      </c>
      <c r="AE179" s="399">
        <v>2307.4141574471455</v>
      </c>
      <c r="AF179" s="399">
        <v>543.48150685808639</v>
      </c>
      <c r="AG179" s="399">
        <v>0</v>
      </c>
      <c r="AH179" s="399">
        <v>0</v>
      </c>
      <c r="AI179" s="399">
        <v>0</v>
      </c>
      <c r="AJ179" s="399">
        <v>0</v>
      </c>
      <c r="AK179" s="399">
        <v>0</v>
      </c>
      <c r="AL179" s="399">
        <v>0</v>
      </c>
      <c r="AM179" s="399"/>
      <c r="AN179" s="399">
        <v>9.7453833429670311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80.509033184133344</v>
      </c>
      <c r="BH179" s="399">
        <v>0</v>
      </c>
      <c r="BI179" s="399">
        <v>0</v>
      </c>
      <c r="BJ179" s="399">
        <v>0</v>
      </c>
      <c r="BK179" s="399">
        <v>143.44999999999999</v>
      </c>
      <c r="BL179" s="399">
        <v>9</v>
      </c>
      <c r="BM179" s="399"/>
      <c r="BN179" s="399"/>
      <c r="BO179" s="399"/>
      <c r="BP179" s="399"/>
      <c r="BQ179" s="399"/>
      <c r="BR179" s="399"/>
      <c r="BS179" s="399"/>
      <c r="BT179" s="399">
        <v>1959.6326999999999</v>
      </c>
      <c r="BU179" s="399"/>
      <c r="BV179" s="399">
        <v>623.99054004221978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1055.2182</v>
      </c>
      <c r="CJ179" s="399">
        <v>-144.71820000000002</v>
      </c>
      <c r="CK179" s="399"/>
      <c r="CL179" s="399"/>
      <c r="CM179" s="399"/>
      <c r="CN179" s="399"/>
      <c r="CO179" s="399">
        <v>-413.45310000000046</v>
      </c>
      <c r="CP179" s="399">
        <v>0</v>
      </c>
      <c r="CQ179" s="399">
        <v>31</v>
      </c>
      <c r="CR179" s="399">
        <v>-3.4122003905449674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-2.6063541736520506</v>
      </c>
      <c r="DA179" s="399">
        <v>0</v>
      </c>
      <c r="DB179" s="399">
        <v>0</v>
      </c>
      <c r="DC179" s="399">
        <v>0</v>
      </c>
      <c r="DD179" s="399">
        <v>0</v>
      </c>
      <c r="DE179" s="399">
        <v>0</v>
      </c>
      <c r="DF179" s="399">
        <v>0</v>
      </c>
      <c r="DG179" s="399">
        <v>0</v>
      </c>
      <c r="DH179" s="399">
        <v>0</v>
      </c>
      <c r="DI179" s="399">
        <v>0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0</v>
      </c>
      <c r="DP179" s="399">
        <v>-0.80584621689294345</v>
      </c>
      <c r="DQ179" s="399">
        <v>0</v>
      </c>
      <c r="DR179" s="399">
        <v>0</v>
      </c>
      <c r="DS179" s="399"/>
      <c r="DT179" s="399"/>
      <c r="DU179" s="399"/>
      <c r="DV179" s="399">
        <v>2307.4141574471455</v>
      </c>
      <c r="DW179" s="399">
        <v>0</v>
      </c>
      <c r="DX179" s="399">
        <v>0</v>
      </c>
      <c r="DY179" s="399">
        <v>-413.45310000000063</v>
      </c>
      <c r="DZ179" s="399">
        <v>0</v>
      </c>
      <c r="EA179" s="399">
        <v>0</v>
      </c>
      <c r="EB179" s="399">
        <v>0</v>
      </c>
      <c r="EC179" s="399">
        <v>-410.01357710849129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229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2338</v>
      </c>
      <c r="C180" s="399" t="s">
        <v>2336</v>
      </c>
      <c r="D180" s="399" t="s">
        <v>1819</v>
      </c>
      <c r="E180" s="399" t="s">
        <v>887</v>
      </c>
      <c r="F180" s="399" t="s">
        <v>2340</v>
      </c>
      <c r="G180" s="399" t="s">
        <v>1237</v>
      </c>
      <c r="H180" s="399" t="s">
        <v>1237</v>
      </c>
      <c r="I180" s="399" t="s">
        <v>1237</v>
      </c>
      <c r="J180" s="399" t="s">
        <v>2337</v>
      </c>
      <c r="K180" s="788">
        <v>44621</v>
      </c>
      <c r="L180" s="399">
        <v>0</v>
      </c>
      <c r="M180" s="399">
        <v>0</v>
      </c>
      <c r="N180" s="399">
        <v>0.03</v>
      </c>
      <c r="O180" s="399">
        <v>0.03</v>
      </c>
      <c r="P180" s="399">
        <v>0.03</v>
      </c>
      <c r="Q180" s="399">
        <v>0.03</v>
      </c>
      <c r="R180" s="399"/>
      <c r="S180" s="399">
        <v>636.83000000000004</v>
      </c>
      <c r="T180" s="399">
        <v>119.97</v>
      </c>
      <c r="U180" s="399"/>
      <c r="V180" s="399">
        <v>22.704000000000001</v>
      </c>
      <c r="W180" s="399">
        <v>22.704000000000001</v>
      </c>
      <c r="X180" s="399">
        <v>19.965899999999998</v>
      </c>
      <c r="Y180" s="399">
        <v>0</v>
      </c>
      <c r="Z180" s="399">
        <v>0</v>
      </c>
      <c r="AA180" s="399">
        <v>0</v>
      </c>
      <c r="AB180" s="399">
        <v>0</v>
      </c>
      <c r="AC180" s="399">
        <v>0</v>
      </c>
      <c r="AD180" s="399">
        <v>3.22617632406291</v>
      </c>
      <c r="AE180" s="399">
        <v>15.28088845991487</v>
      </c>
      <c r="AF180" s="399">
        <v>3.5992152772058699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0</v>
      </c>
      <c r="AM180" s="399"/>
      <c r="AN180" s="399">
        <v>6.4538962536205502E-2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0.53317240519293596</v>
      </c>
      <c r="BH180" s="399">
        <v>0</v>
      </c>
      <c r="BI180" s="399">
        <v>0</v>
      </c>
      <c r="BJ180" s="399">
        <v>0</v>
      </c>
      <c r="BK180" s="399">
        <v>0.95</v>
      </c>
      <c r="BL180" s="399">
        <v>0</v>
      </c>
      <c r="BM180" s="399"/>
      <c r="BN180" s="399"/>
      <c r="BO180" s="399"/>
      <c r="BP180" s="399"/>
      <c r="BQ180" s="399"/>
      <c r="BR180" s="399"/>
      <c r="BS180" s="399"/>
      <c r="BT180" s="399">
        <v>12.977699999999997</v>
      </c>
      <c r="BU180" s="399"/>
      <c r="BV180" s="399">
        <v>4.1323876823988055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6.9881999999999991</v>
      </c>
      <c r="CJ180" s="399">
        <v>-0.98819999999999908</v>
      </c>
      <c r="CK180" s="399"/>
      <c r="CL180" s="399"/>
      <c r="CM180" s="399"/>
      <c r="CN180" s="399"/>
      <c r="CO180" s="399">
        <v>-2.7381000000000029</v>
      </c>
      <c r="CP180" s="399">
        <v>0</v>
      </c>
      <c r="CQ180" s="399">
        <v>31</v>
      </c>
      <c r="CR180" s="399">
        <v>-2.2597353579768331E-2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-1.7260623666569774E-2</v>
      </c>
      <c r="DA180" s="399">
        <v>0</v>
      </c>
      <c r="DB180" s="399">
        <v>0</v>
      </c>
      <c r="DC180" s="399">
        <v>0</v>
      </c>
      <c r="DD180" s="399">
        <v>0</v>
      </c>
      <c r="DE180" s="399">
        <v>0</v>
      </c>
      <c r="DF180" s="399">
        <v>0</v>
      </c>
      <c r="DG180" s="399">
        <v>0</v>
      </c>
      <c r="DH180" s="399">
        <v>0</v>
      </c>
      <c r="DI180" s="399">
        <v>0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0</v>
      </c>
      <c r="DP180" s="399">
        <v>-5.336729913198307E-3</v>
      </c>
      <c r="DQ180" s="399">
        <v>0</v>
      </c>
      <c r="DR180" s="399">
        <v>0</v>
      </c>
      <c r="DS180" s="399"/>
      <c r="DT180" s="399"/>
      <c r="DU180" s="399"/>
      <c r="DV180" s="399">
        <v>15.28088845991487</v>
      </c>
      <c r="DW180" s="399">
        <v>0</v>
      </c>
      <c r="DX180" s="399">
        <v>0</v>
      </c>
      <c r="DY180" s="399">
        <v>-2.7381000000000029</v>
      </c>
      <c r="DZ180" s="399">
        <v>0</v>
      </c>
      <c r="EA180" s="399">
        <v>0</v>
      </c>
      <c r="EB180" s="399">
        <v>0</v>
      </c>
      <c r="EC180" s="399">
        <v>-2.715321702705241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229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954</v>
      </c>
      <c r="C181" s="399" t="s">
        <v>2336</v>
      </c>
      <c r="D181" s="399" t="s">
        <v>1819</v>
      </c>
      <c r="E181" s="399" t="s">
        <v>887</v>
      </c>
      <c r="F181" s="399" t="s">
        <v>2341</v>
      </c>
      <c r="G181" s="399" t="s">
        <v>1237</v>
      </c>
      <c r="H181" s="399" t="s">
        <v>1237</v>
      </c>
      <c r="I181" s="399" t="s">
        <v>1237</v>
      </c>
      <c r="J181" s="399" t="s">
        <v>2337</v>
      </c>
      <c r="K181" s="788">
        <v>44621</v>
      </c>
      <c r="L181" s="399">
        <v>0</v>
      </c>
      <c r="M181" s="399">
        <v>0</v>
      </c>
      <c r="N181" s="399">
        <v>9.3979999999999997</v>
      </c>
      <c r="O181" s="399">
        <v>9.3979999999999997</v>
      </c>
      <c r="P181" s="399">
        <v>9.3979999999999997</v>
      </c>
      <c r="Q181" s="399">
        <v>9.3979999999999997</v>
      </c>
      <c r="R181" s="399"/>
      <c r="S181" s="399">
        <v>636.83000000000004</v>
      </c>
      <c r="T181" s="399">
        <v>119.97</v>
      </c>
      <c r="U181" s="399"/>
      <c r="V181" s="399">
        <v>7112.4063999999998</v>
      </c>
      <c r="W181" s="399">
        <v>7112.4063999999998</v>
      </c>
      <c r="X181" s="399">
        <v>6254.6509399999995</v>
      </c>
      <c r="Y181" s="399">
        <v>0</v>
      </c>
      <c r="Z181" s="399">
        <v>0</v>
      </c>
      <c r="AA181" s="399">
        <v>0</v>
      </c>
      <c r="AB181" s="399">
        <v>0</v>
      </c>
      <c r="AC181" s="399">
        <v>0</v>
      </c>
      <c r="AD181" s="399">
        <v>1010.6535031181076</v>
      </c>
      <c r="AE181" s="399">
        <v>4786.9929915426646</v>
      </c>
      <c r="AF181" s="399">
        <v>1127.5141725060255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0</v>
      </c>
      <c r="AM181" s="399"/>
      <c r="AN181" s="399">
        <v>20.217905663841979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167.0251421334404</v>
      </c>
      <c r="BH181" s="399">
        <v>0</v>
      </c>
      <c r="BI181" s="399">
        <v>0</v>
      </c>
      <c r="BJ181" s="399">
        <v>0</v>
      </c>
      <c r="BK181" s="399">
        <v>511.43</v>
      </c>
      <c r="BL181" s="399">
        <v>20</v>
      </c>
      <c r="BM181" s="399"/>
      <c r="BN181" s="399"/>
      <c r="BO181" s="399"/>
      <c r="BP181" s="399"/>
      <c r="BQ181" s="399"/>
      <c r="BR181" s="399"/>
      <c r="BS181" s="399"/>
      <c r="BT181" s="399">
        <v>2501.8415799999993</v>
      </c>
      <c r="BU181" s="399"/>
      <c r="BV181" s="399">
        <v>1294.5393146394658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3753.6080000000002</v>
      </c>
      <c r="CJ181" s="399">
        <v>-513.86584000000039</v>
      </c>
      <c r="CK181" s="399"/>
      <c r="CL181" s="399"/>
      <c r="CM181" s="399"/>
      <c r="CN181" s="399"/>
      <c r="CO181" s="399">
        <v>-857.75546000000088</v>
      </c>
      <c r="CP181" s="399">
        <v>0</v>
      </c>
      <c r="CQ181" s="399">
        <v>31</v>
      </c>
      <c r="CR181" s="399">
        <v>-7.0789976314217711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-5.4071780406140988</v>
      </c>
      <c r="DA181" s="399">
        <v>0</v>
      </c>
      <c r="DB181" s="399">
        <v>0</v>
      </c>
      <c r="DC181" s="399">
        <v>0</v>
      </c>
      <c r="DD181" s="399">
        <v>0</v>
      </c>
      <c r="DE181" s="399">
        <v>0</v>
      </c>
      <c r="DF181" s="399">
        <v>0</v>
      </c>
      <c r="DG181" s="399">
        <v>0</v>
      </c>
      <c r="DH181" s="399">
        <v>0</v>
      </c>
      <c r="DI181" s="399">
        <v>0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0</v>
      </c>
      <c r="DP181" s="399">
        <v>-1.6718195908079245</v>
      </c>
      <c r="DQ181" s="399">
        <v>0</v>
      </c>
      <c r="DR181" s="399">
        <v>0</v>
      </c>
      <c r="DS181" s="399"/>
      <c r="DT181" s="399"/>
      <c r="DU181" s="399"/>
      <c r="DV181" s="399">
        <v>4786.9929915426646</v>
      </c>
      <c r="DW181" s="399">
        <v>0</v>
      </c>
      <c r="DX181" s="399">
        <v>0</v>
      </c>
      <c r="DY181" s="399">
        <v>-857.75546000000122</v>
      </c>
      <c r="DZ181" s="399">
        <v>0</v>
      </c>
      <c r="EA181" s="399">
        <v>0</v>
      </c>
      <c r="EB181" s="399">
        <v>0</v>
      </c>
      <c r="EC181" s="399">
        <v>-850.61977873412798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229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2338</v>
      </c>
      <c r="C182" s="399" t="s">
        <v>2336</v>
      </c>
      <c r="D182" s="399" t="s">
        <v>1819</v>
      </c>
      <c r="E182" s="399" t="s">
        <v>887</v>
      </c>
      <c r="F182" s="399" t="s">
        <v>2341</v>
      </c>
      <c r="G182" s="399" t="s">
        <v>1237</v>
      </c>
      <c r="H182" s="399" t="s">
        <v>1237</v>
      </c>
      <c r="I182" s="399" t="s">
        <v>1237</v>
      </c>
      <c r="J182" s="399" t="s">
        <v>2337</v>
      </c>
      <c r="K182" s="788">
        <v>44621</v>
      </c>
      <c r="L182" s="399">
        <v>0</v>
      </c>
      <c r="M182" s="399">
        <v>0</v>
      </c>
      <c r="N182" s="399">
        <v>7.0000000000000007E-2</v>
      </c>
      <c r="O182" s="399">
        <v>7.0000000000000007E-2</v>
      </c>
      <c r="P182" s="399">
        <v>7.0000000000000007E-2</v>
      </c>
      <c r="Q182" s="399">
        <v>7.0000000000000007E-2</v>
      </c>
      <c r="R182" s="399"/>
      <c r="S182" s="399">
        <v>636.83000000000004</v>
      </c>
      <c r="T182" s="399">
        <v>119.97</v>
      </c>
      <c r="U182" s="399"/>
      <c r="V182" s="399">
        <v>52.976000000000006</v>
      </c>
      <c r="W182" s="399">
        <v>52.976000000000006</v>
      </c>
      <c r="X182" s="399">
        <v>46.5871</v>
      </c>
      <c r="Y182" s="399">
        <v>0</v>
      </c>
      <c r="Z182" s="399">
        <v>0</v>
      </c>
      <c r="AA182" s="399">
        <v>0</v>
      </c>
      <c r="AB182" s="399">
        <v>0</v>
      </c>
      <c r="AC182" s="399">
        <v>0</v>
      </c>
      <c r="AD182" s="399">
        <v>7.5277447561467907</v>
      </c>
      <c r="AE182" s="399">
        <v>35.655406406468032</v>
      </c>
      <c r="AF182" s="399">
        <v>8.3981689801470303</v>
      </c>
      <c r="AG182" s="399">
        <v>0</v>
      </c>
      <c r="AH182" s="399">
        <v>0</v>
      </c>
      <c r="AI182" s="399">
        <v>0</v>
      </c>
      <c r="AJ182" s="399">
        <v>0</v>
      </c>
      <c r="AK182" s="399">
        <v>0</v>
      </c>
      <c r="AL182" s="399">
        <v>0</v>
      </c>
      <c r="AM182" s="399"/>
      <c r="AN182" s="399">
        <v>0.15059091258447954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1.2440689454501841</v>
      </c>
      <c r="BH182" s="399">
        <v>0</v>
      </c>
      <c r="BI182" s="399">
        <v>0</v>
      </c>
      <c r="BJ182" s="399">
        <v>0</v>
      </c>
      <c r="BK182" s="399">
        <v>3.81</v>
      </c>
      <c r="BL182" s="399">
        <v>0</v>
      </c>
      <c r="BM182" s="399"/>
      <c r="BN182" s="399"/>
      <c r="BO182" s="399"/>
      <c r="BP182" s="399"/>
      <c r="BQ182" s="399"/>
      <c r="BR182" s="399"/>
      <c r="BS182" s="399"/>
      <c r="BT182" s="399">
        <v>18.634699999999999</v>
      </c>
      <c r="BU182" s="399"/>
      <c r="BV182" s="399">
        <v>9.6422379255972146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27.952400000000004</v>
      </c>
      <c r="CJ182" s="399">
        <v>-3.8632000000000026</v>
      </c>
      <c r="CK182" s="399"/>
      <c r="CL182" s="399"/>
      <c r="CM182" s="399"/>
      <c r="CN182" s="399"/>
      <c r="CO182" s="399">
        <v>-6.3889000000000076</v>
      </c>
      <c r="CP182" s="399">
        <v>0</v>
      </c>
      <c r="CQ182" s="399">
        <v>31</v>
      </c>
      <c r="CR182" s="399">
        <v>-5.2727158352791292E-2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-4.0274788555329621E-2</v>
      </c>
      <c r="DA182" s="399">
        <v>0</v>
      </c>
      <c r="DB182" s="399">
        <v>0</v>
      </c>
      <c r="DC182" s="399">
        <v>0</v>
      </c>
      <c r="DD182" s="399">
        <v>0</v>
      </c>
      <c r="DE182" s="399">
        <v>0</v>
      </c>
      <c r="DF182" s="399">
        <v>0</v>
      </c>
      <c r="DG182" s="399">
        <v>0</v>
      </c>
      <c r="DH182" s="399">
        <v>0</v>
      </c>
      <c r="DI182" s="399">
        <v>0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0</v>
      </c>
      <c r="DP182" s="399">
        <v>-1.2452369797462726E-2</v>
      </c>
      <c r="DQ182" s="399">
        <v>0</v>
      </c>
      <c r="DR182" s="399">
        <v>0</v>
      </c>
      <c r="DS182" s="399"/>
      <c r="DT182" s="399"/>
      <c r="DU182" s="399"/>
      <c r="DV182" s="399">
        <v>35.655406406468032</v>
      </c>
      <c r="DW182" s="399">
        <v>0</v>
      </c>
      <c r="DX182" s="399">
        <v>0</v>
      </c>
      <c r="DY182" s="399">
        <v>-6.3889000000000067</v>
      </c>
      <c r="DZ182" s="399">
        <v>0</v>
      </c>
      <c r="EA182" s="399">
        <v>0</v>
      </c>
      <c r="EB182" s="399">
        <v>0</v>
      </c>
      <c r="EC182" s="399">
        <v>-6.3357506396455605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229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954</v>
      </c>
      <c r="C183" s="399" t="s">
        <v>2336</v>
      </c>
      <c r="D183" s="399" t="s">
        <v>1819</v>
      </c>
      <c r="E183" s="399" t="s">
        <v>887</v>
      </c>
      <c r="F183" s="399" t="s">
        <v>2342</v>
      </c>
      <c r="G183" s="399" t="s">
        <v>1237</v>
      </c>
      <c r="H183" s="399" t="s">
        <v>1237</v>
      </c>
      <c r="I183" s="399" t="s">
        <v>1237</v>
      </c>
      <c r="J183" s="399" t="s">
        <v>2337</v>
      </c>
      <c r="K183" s="788">
        <v>44621</v>
      </c>
      <c r="L183" s="399">
        <v>0</v>
      </c>
      <c r="M183" s="399">
        <v>0</v>
      </c>
      <c r="N183" s="399">
        <v>9.8089999999999993</v>
      </c>
      <c r="O183" s="399">
        <v>9.8089999999999993</v>
      </c>
      <c r="P183" s="399">
        <v>9.8089999999999993</v>
      </c>
      <c r="Q183" s="399">
        <v>9.8089999999999993</v>
      </c>
      <c r="R183" s="399"/>
      <c r="S183" s="399">
        <v>636.83000000000004</v>
      </c>
      <c r="T183" s="399">
        <v>119.97</v>
      </c>
      <c r="U183" s="399"/>
      <c r="V183" s="399">
        <v>7423.4511999999995</v>
      </c>
      <c r="W183" s="399">
        <v>7423.4511999999995</v>
      </c>
      <c r="X183" s="399">
        <v>6528.1837699999987</v>
      </c>
      <c r="Y183" s="399">
        <v>0</v>
      </c>
      <c r="Z183" s="399">
        <v>0</v>
      </c>
      <c r="AA183" s="399">
        <v>0</v>
      </c>
      <c r="AB183" s="399">
        <v>0</v>
      </c>
      <c r="AC183" s="399">
        <v>0</v>
      </c>
      <c r="AD183" s="399">
        <v>1054.8521187577694</v>
      </c>
      <c r="AE183" s="399">
        <v>4996.3411634434979</v>
      </c>
      <c r="AF183" s="399">
        <v>1176.8234218037458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0</v>
      </c>
      <c r="AM183" s="399"/>
      <c r="AN183" s="399">
        <v>21.102089450587993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174.32960408458362</v>
      </c>
      <c r="BH183" s="399">
        <v>0</v>
      </c>
      <c r="BI183" s="399">
        <v>0</v>
      </c>
      <c r="BJ183" s="399">
        <v>0</v>
      </c>
      <c r="BK183" s="399">
        <v>1347.61</v>
      </c>
      <c r="BL183" s="399">
        <v>71</v>
      </c>
      <c r="BM183" s="399"/>
      <c r="BN183" s="399"/>
      <c r="BO183" s="399"/>
      <c r="BP183" s="399"/>
      <c r="BQ183" s="399"/>
      <c r="BR183" s="399"/>
      <c r="BS183" s="399"/>
      <c r="BT183" s="399">
        <v>652.69085999999936</v>
      </c>
      <c r="BU183" s="399"/>
      <c r="BV183" s="399">
        <v>1351.1530258883295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5876.0919000000004</v>
      </c>
      <c r="CJ183" s="399">
        <v>-805.04417999999987</v>
      </c>
      <c r="CK183" s="399"/>
      <c r="CL183" s="399"/>
      <c r="CM183" s="399"/>
      <c r="CN183" s="399"/>
      <c r="CO183" s="399">
        <v>-895.2674300000009</v>
      </c>
      <c r="CP183" s="399">
        <v>0</v>
      </c>
      <c r="CQ183" s="399">
        <v>31</v>
      </c>
      <c r="CR183" s="399">
        <v>-7.3885813754645824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-5.6436485848460052</v>
      </c>
      <c r="DA183" s="399">
        <v>0</v>
      </c>
      <c r="DB183" s="399">
        <v>0</v>
      </c>
      <c r="DC183" s="399">
        <v>0</v>
      </c>
      <c r="DD183" s="399">
        <v>0</v>
      </c>
      <c r="DE183" s="399">
        <v>0</v>
      </c>
      <c r="DF183" s="399">
        <v>0</v>
      </c>
      <c r="DG183" s="399">
        <v>0</v>
      </c>
      <c r="DH183" s="399">
        <v>0</v>
      </c>
      <c r="DI183" s="399">
        <v>0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0</v>
      </c>
      <c r="DP183" s="399">
        <v>-1.7449327906187406</v>
      </c>
      <c r="DQ183" s="399">
        <v>0</v>
      </c>
      <c r="DR183" s="399">
        <v>0</v>
      </c>
      <c r="DS183" s="399"/>
      <c r="DT183" s="399"/>
      <c r="DU183" s="399"/>
      <c r="DV183" s="399">
        <v>4996.3411634434979</v>
      </c>
      <c r="DW183" s="399">
        <v>0</v>
      </c>
      <c r="DX183" s="399">
        <v>0</v>
      </c>
      <c r="DY183" s="399">
        <v>-895.26743000000079</v>
      </c>
      <c r="DZ183" s="399">
        <v>0</v>
      </c>
      <c r="EA183" s="399">
        <v>0</v>
      </c>
      <c r="EB183" s="399">
        <v>0</v>
      </c>
      <c r="EC183" s="399">
        <v>-887.81968606118971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229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2338</v>
      </c>
      <c r="C184" s="399" t="s">
        <v>2336</v>
      </c>
      <c r="D184" s="399" t="s">
        <v>1819</v>
      </c>
      <c r="E184" s="399" t="s">
        <v>887</v>
      </c>
      <c r="F184" s="399" t="s">
        <v>2342</v>
      </c>
      <c r="G184" s="399" t="s">
        <v>1237</v>
      </c>
      <c r="H184" s="399" t="s">
        <v>1237</v>
      </c>
      <c r="I184" s="399" t="s">
        <v>1237</v>
      </c>
      <c r="J184" s="399" t="s">
        <v>2337</v>
      </c>
      <c r="K184" s="788">
        <v>44621</v>
      </c>
      <c r="L184" s="399">
        <v>0</v>
      </c>
      <c r="M184" s="399">
        <v>0</v>
      </c>
      <c r="N184" s="399">
        <v>5.0999999999999997E-2</v>
      </c>
      <c r="O184" s="399">
        <v>5.0999999999999997E-2</v>
      </c>
      <c r="P184" s="399">
        <v>5.0999999999999997E-2</v>
      </c>
      <c r="Q184" s="399">
        <v>5.0999999999999997E-2</v>
      </c>
      <c r="R184" s="399"/>
      <c r="S184" s="399">
        <v>636.83000000000004</v>
      </c>
      <c r="T184" s="399">
        <v>119.97</v>
      </c>
      <c r="U184" s="399"/>
      <c r="V184" s="399">
        <v>38.596800000000002</v>
      </c>
      <c r="W184" s="399">
        <v>38.596800000000002</v>
      </c>
      <c r="X184" s="399">
        <v>33.942029999999995</v>
      </c>
      <c r="Y184" s="399">
        <v>0</v>
      </c>
      <c r="Z184" s="399">
        <v>0</v>
      </c>
      <c r="AA184" s="399">
        <v>0</v>
      </c>
      <c r="AB184" s="399">
        <v>0</v>
      </c>
      <c r="AC184" s="399">
        <v>0</v>
      </c>
      <c r="AD184" s="399">
        <v>5.4844997509069469</v>
      </c>
      <c r="AE184" s="399">
        <v>25.977510381855279</v>
      </c>
      <c r="AF184" s="399">
        <v>6.1186659712499782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0</v>
      </c>
      <c r="AM184" s="399"/>
      <c r="AN184" s="399">
        <v>0.10971623631154935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0.90639308882799108</v>
      </c>
      <c r="BH184" s="399">
        <v>0</v>
      </c>
      <c r="BI184" s="399">
        <v>0</v>
      </c>
      <c r="BJ184" s="399">
        <v>0</v>
      </c>
      <c r="BK184" s="399">
        <v>4.2699999999999996</v>
      </c>
      <c r="BL184" s="399">
        <v>0</v>
      </c>
      <c r="BM184" s="399"/>
      <c r="BN184" s="399"/>
      <c r="BO184" s="399"/>
      <c r="BP184" s="399"/>
      <c r="BQ184" s="399"/>
      <c r="BR184" s="399"/>
      <c r="BS184" s="399"/>
      <c r="BT184" s="399">
        <v>3.3935399999999971</v>
      </c>
      <c r="BU184" s="399"/>
      <c r="BV184" s="399">
        <v>7.025059060077969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29.9495</v>
      </c>
      <c r="CJ184" s="399">
        <v>-4.817619999999998</v>
      </c>
      <c r="CK184" s="399"/>
      <c r="CL184" s="399"/>
      <c r="CM184" s="399"/>
      <c r="CN184" s="399"/>
      <c r="CO184" s="399">
        <v>-4.6547700000000045</v>
      </c>
      <c r="CP184" s="399">
        <v>0</v>
      </c>
      <c r="CQ184" s="399">
        <v>31</v>
      </c>
      <c r="CR184" s="399">
        <v>-3.8415501085607318E-2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-2.9343060233168572E-2</v>
      </c>
      <c r="DA184" s="399">
        <v>0</v>
      </c>
      <c r="DB184" s="399">
        <v>0</v>
      </c>
      <c r="DC184" s="399">
        <v>0</v>
      </c>
      <c r="DD184" s="399">
        <v>0</v>
      </c>
      <c r="DE184" s="399">
        <v>0</v>
      </c>
      <c r="DF184" s="399">
        <v>0</v>
      </c>
      <c r="DG184" s="399">
        <v>0</v>
      </c>
      <c r="DH184" s="399">
        <v>0</v>
      </c>
      <c r="DI184" s="399">
        <v>0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0</v>
      </c>
      <c r="DP184" s="399">
        <v>-9.0724408524371219E-3</v>
      </c>
      <c r="DQ184" s="399">
        <v>0</v>
      </c>
      <c r="DR184" s="399">
        <v>0</v>
      </c>
      <c r="DS184" s="399"/>
      <c r="DT184" s="399"/>
      <c r="DU184" s="399"/>
      <c r="DV184" s="399">
        <v>25.977510381855279</v>
      </c>
      <c r="DW184" s="399">
        <v>0</v>
      </c>
      <c r="DX184" s="399">
        <v>0</v>
      </c>
      <c r="DY184" s="399">
        <v>-4.6547700000000027</v>
      </c>
      <c r="DZ184" s="399">
        <v>0</v>
      </c>
      <c r="EA184" s="399">
        <v>0</v>
      </c>
      <c r="EB184" s="399">
        <v>0</v>
      </c>
      <c r="EC184" s="399">
        <v>-4.6160468945989095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229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954</v>
      </c>
      <c r="C185" s="399" t="s">
        <v>2336</v>
      </c>
      <c r="D185" s="399" t="s">
        <v>1819</v>
      </c>
      <c r="E185" s="399" t="s">
        <v>887</v>
      </c>
      <c r="F185" s="399" t="s">
        <v>2343</v>
      </c>
      <c r="G185" s="399" t="s">
        <v>1237</v>
      </c>
      <c r="H185" s="399" t="s">
        <v>1237</v>
      </c>
      <c r="I185" s="399" t="s">
        <v>1237</v>
      </c>
      <c r="J185" s="399" t="s">
        <v>2337</v>
      </c>
      <c r="K185" s="788">
        <v>44621</v>
      </c>
      <c r="L185" s="399">
        <v>0</v>
      </c>
      <c r="M185" s="399">
        <v>0</v>
      </c>
      <c r="N185" s="399">
        <v>5.5119999999999996</v>
      </c>
      <c r="O185" s="399">
        <v>5.5119999999999996</v>
      </c>
      <c r="P185" s="399">
        <v>5.5119999999999996</v>
      </c>
      <c r="Q185" s="399">
        <v>5.5119999999999996</v>
      </c>
      <c r="R185" s="399"/>
      <c r="S185" s="399">
        <v>636.83000000000004</v>
      </c>
      <c r="T185" s="399">
        <v>119.97</v>
      </c>
      <c r="U185" s="399"/>
      <c r="V185" s="399">
        <v>4171.4816000000001</v>
      </c>
      <c r="W185" s="399">
        <v>4171.4816000000001</v>
      </c>
      <c r="X185" s="399">
        <v>3668.4013599999994</v>
      </c>
      <c r="Y185" s="399">
        <v>0</v>
      </c>
      <c r="Z185" s="399">
        <v>0</v>
      </c>
      <c r="AA185" s="399">
        <v>0</v>
      </c>
      <c r="AB185" s="399">
        <v>0</v>
      </c>
      <c r="AC185" s="399">
        <v>0</v>
      </c>
      <c r="AD185" s="399">
        <v>592.75612994115863</v>
      </c>
      <c r="AE185" s="399">
        <v>2807.6085730350251</v>
      </c>
      <c r="AF185" s="399">
        <v>661.29582026529181</v>
      </c>
      <c r="AG185" s="399">
        <v>0</v>
      </c>
      <c r="AH185" s="399">
        <v>0</v>
      </c>
      <c r="AI185" s="399">
        <v>0</v>
      </c>
      <c r="AJ185" s="399">
        <v>0</v>
      </c>
      <c r="AK185" s="399">
        <v>0</v>
      </c>
      <c r="AL185" s="399">
        <v>0</v>
      </c>
      <c r="AM185" s="399"/>
      <c r="AN185" s="399">
        <v>11.857958716652158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97.961543247448759</v>
      </c>
      <c r="BH185" s="399">
        <v>0</v>
      </c>
      <c r="BI185" s="399">
        <v>0</v>
      </c>
      <c r="BJ185" s="399">
        <v>0</v>
      </c>
      <c r="BK185" s="399">
        <v>1222.55</v>
      </c>
      <c r="BL185" s="399">
        <v>51</v>
      </c>
      <c r="BM185" s="399"/>
      <c r="BN185" s="399"/>
      <c r="BO185" s="399"/>
      <c r="BP185" s="399"/>
      <c r="BQ185" s="399"/>
      <c r="BR185" s="399"/>
      <c r="BS185" s="399"/>
      <c r="BT185" s="399"/>
      <c r="BU185" s="399"/>
      <c r="BV185" s="399">
        <v>759.25736351274054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3667.0702999999994</v>
      </c>
      <c r="CJ185" s="399">
        <v>-504.44130000000132</v>
      </c>
      <c r="CK185" s="399"/>
      <c r="CL185" s="399"/>
      <c r="CM185" s="399"/>
      <c r="CN185" s="399"/>
      <c r="CO185" s="399">
        <v>-503.08024000000052</v>
      </c>
      <c r="CP185" s="399">
        <v>0</v>
      </c>
      <c r="CQ185" s="399">
        <v>31</v>
      </c>
      <c r="CR185" s="399">
        <v>-4.1518870977224651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-3.1713519216710893</v>
      </c>
      <c r="DA185" s="399">
        <v>0</v>
      </c>
      <c r="DB185" s="399">
        <v>0</v>
      </c>
      <c r="DC185" s="399">
        <v>0</v>
      </c>
      <c r="DD185" s="399">
        <v>0</v>
      </c>
      <c r="DE185" s="399">
        <v>0</v>
      </c>
      <c r="DF185" s="399">
        <v>0</v>
      </c>
      <c r="DG185" s="399">
        <v>0</v>
      </c>
      <c r="DH185" s="399">
        <v>0</v>
      </c>
      <c r="DI185" s="399">
        <v>0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0</v>
      </c>
      <c r="DP185" s="399">
        <v>-0.98053517605163698</v>
      </c>
      <c r="DQ185" s="399">
        <v>0</v>
      </c>
      <c r="DR185" s="399">
        <v>0</v>
      </c>
      <c r="DS185" s="399"/>
      <c r="DT185" s="399"/>
      <c r="DU185" s="399"/>
      <c r="DV185" s="399">
        <v>2807.6085730350251</v>
      </c>
      <c r="DW185" s="399">
        <v>0</v>
      </c>
      <c r="DX185" s="399">
        <v>0</v>
      </c>
      <c r="DY185" s="399">
        <v>-503.08024000000069</v>
      </c>
      <c r="DZ185" s="399">
        <v>0</v>
      </c>
      <c r="EA185" s="399">
        <v>0</v>
      </c>
      <c r="EB185" s="399">
        <v>0</v>
      </c>
      <c r="EC185" s="399">
        <v>-498.89510751037596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229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184</v>
      </c>
      <c r="B186" s="399" t="s">
        <v>954</v>
      </c>
      <c r="C186" s="399" t="s">
        <v>2336</v>
      </c>
      <c r="D186" s="399" t="s">
        <v>1822</v>
      </c>
      <c r="E186" s="399" t="s">
        <v>888</v>
      </c>
      <c r="F186" s="399" t="s">
        <v>1237</v>
      </c>
      <c r="G186" s="399" t="s">
        <v>1237</v>
      </c>
      <c r="H186" s="399" t="s">
        <v>1237</v>
      </c>
      <c r="I186" s="399" t="s">
        <v>1237</v>
      </c>
      <c r="J186" s="399" t="s">
        <v>2337</v>
      </c>
      <c r="K186" s="788">
        <v>44621</v>
      </c>
      <c r="L186" s="399">
        <v>0</v>
      </c>
      <c r="M186" s="399">
        <v>0</v>
      </c>
      <c r="N186" s="399">
        <v>128.958</v>
      </c>
      <c r="O186" s="399">
        <v>128.958</v>
      </c>
      <c r="P186" s="399">
        <v>128.958</v>
      </c>
      <c r="Q186" s="399">
        <v>128.958</v>
      </c>
      <c r="R186" s="399"/>
      <c r="S186" s="399">
        <v>707.13</v>
      </c>
      <c r="T186" s="399">
        <v>119.97</v>
      </c>
      <c r="U186" s="399"/>
      <c r="V186" s="399">
        <v>106661.1618</v>
      </c>
      <c r="W186" s="399">
        <v>106661.1618</v>
      </c>
      <c r="X186" s="399">
        <v>94014.250739999989</v>
      </c>
      <c r="Y186" s="399">
        <v>0</v>
      </c>
      <c r="Z186" s="399">
        <v>7852.8818806354702</v>
      </c>
      <c r="AA186" s="399">
        <v>0</v>
      </c>
      <c r="AB186" s="399">
        <v>0</v>
      </c>
      <c r="AC186" s="399">
        <v>0</v>
      </c>
      <c r="AD186" s="399">
        <v>13868.041546616825</v>
      </c>
      <c r="AE186" s="399">
        <v>65686.427133790057</v>
      </c>
      <c r="AF186" s="399">
        <v>15471.586790597152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1213.523912754318</v>
      </c>
      <c r="AM186" s="399"/>
      <c r="AN186" s="399">
        <v>277.42718435813299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2291.8949009623548</v>
      </c>
      <c r="BH186" s="399">
        <v>0</v>
      </c>
      <c r="BI186" s="399">
        <v>0</v>
      </c>
      <c r="BJ186" s="399">
        <v>0</v>
      </c>
      <c r="BK186" s="399">
        <v>37441.64</v>
      </c>
      <c r="BL186" s="399">
        <v>67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17763.481691559507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94015.708799999993</v>
      </c>
      <c r="CJ186" s="399">
        <v>-12645.482999999993</v>
      </c>
      <c r="CK186" s="399"/>
      <c r="CL186" s="399"/>
      <c r="CM186" s="399"/>
      <c r="CN186" s="399"/>
      <c r="CO186" s="399">
        <v>-12646.911060000006</v>
      </c>
      <c r="CP186" s="399">
        <v>0</v>
      </c>
      <c r="CQ186" s="399">
        <v>31</v>
      </c>
      <c r="CR186" s="399">
        <v>-974.70631832516665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-74.196516893116495</v>
      </c>
      <c r="DA186" s="399">
        <v>0</v>
      </c>
      <c r="DB186" s="399">
        <v>0</v>
      </c>
      <c r="DC186" s="399">
        <v>0</v>
      </c>
      <c r="DD186" s="399">
        <v>0</v>
      </c>
      <c r="DE186" s="399">
        <v>0</v>
      </c>
      <c r="DF186" s="399">
        <v>0</v>
      </c>
      <c r="DG186" s="399">
        <v>0</v>
      </c>
      <c r="DH186" s="399">
        <v>0</v>
      </c>
      <c r="DI186" s="399">
        <v>-774.15488391514737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-103.41445031203375</v>
      </c>
      <c r="DP186" s="399">
        <v>-22.940467204874238</v>
      </c>
      <c r="DQ186" s="399">
        <v>0</v>
      </c>
      <c r="DR186" s="399">
        <v>0</v>
      </c>
      <c r="DS186" s="399"/>
      <c r="DT186" s="399"/>
      <c r="DU186" s="399"/>
      <c r="DV186" s="399">
        <v>65686.427133790057</v>
      </c>
      <c r="DW186" s="399">
        <v>0</v>
      </c>
      <c r="DX186" s="399">
        <v>0</v>
      </c>
      <c r="DY186" s="399">
        <v>-12646.911060000013</v>
      </c>
      <c r="DZ186" s="399">
        <v>0</v>
      </c>
      <c r="EA186" s="399">
        <v>0</v>
      </c>
      <c r="EB186" s="399">
        <v>0</v>
      </c>
      <c r="EC186" s="399">
        <v>-11672.081871248745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229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185</v>
      </c>
      <c r="B187" s="399" t="s">
        <v>2339</v>
      </c>
      <c r="C187" s="399" t="s">
        <v>2336</v>
      </c>
      <c r="D187" s="399" t="s">
        <v>1822</v>
      </c>
      <c r="E187" s="399" t="s">
        <v>888</v>
      </c>
      <c r="F187" s="399" t="s">
        <v>1237</v>
      </c>
      <c r="G187" s="399" t="s">
        <v>1237</v>
      </c>
      <c r="H187" s="399" t="s">
        <v>1237</v>
      </c>
      <c r="I187" s="399" t="s">
        <v>1237</v>
      </c>
      <c r="J187" s="399" t="s">
        <v>2337</v>
      </c>
      <c r="K187" s="788">
        <v>44621</v>
      </c>
      <c r="L187" s="399">
        <v>0</v>
      </c>
      <c r="M187" s="399">
        <v>0</v>
      </c>
      <c r="N187" s="399">
        <v>0.2</v>
      </c>
      <c r="O187" s="399">
        <v>0.2</v>
      </c>
      <c r="P187" s="399">
        <v>0.2</v>
      </c>
      <c r="Q187" s="399">
        <v>0.2</v>
      </c>
      <c r="R187" s="399"/>
      <c r="S187" s="399">
        <v>707.13</v>
      </c>
      <c r="T187" s="399">
        <v>119.97</v>
      </c>
      <c r="U187" s="399"/>
      <c r="V187" s="399">
        <v>165.42000000000002</v>
      </c>
      <c r="W187" s="399">
        <v>165.42000000000002</v>
      </c>
      <c r="X187" s="399">
        <v>145.80599999999998</v>
      </c>
      <c r="Y187" s="399">
        <v>0</v>
      </c>
      <c r="Z187" s="399">
        <v>12.17897591562442</v>
      </c>
      <c r="AA187" s="399">
        <v>0</v>
      </c>
      <c r="AB187" s="399">
        <v>0</v>
      </c>
      <c r="AC187" s="399">
        <v>0</v>
      </c>
      <c r="AD187" s="399">
        <v>21.507842160419401</v>
      </c>
      <c r="AE187" s="399">
        <v>101.8725897327658</v>
      </c>
      <c r="AF187" s="399">
        <v>23.9947685147058</v>
      </c>
      <c r="AG187" s="399">
        <v>0</v>
      </c>
      <c r="AH187" s="399">
        <v>0</v>
      </c>
      <c r="AI187" s="399">
        <v>0</v>
      </c>
      <c r="AJ187" s="399">
        <v>0</v>
      </c>
      <c r="AK187" s="399">
        <v>0</v>
      </c>
      <c r="AL187" s="399">
        <v>1.8820451817713022</v>
      </c>
      <c r="AM187" s="399"/>
      <c r="AN187" s="399">
        <v>0.43025975024137009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3.5544827012862399</v>
      </c>
      <c r="BH187" s="399">
        <v>0</v>
      </c>
      <c r="BI187" s="399">
        <v>0</v>
      </c>
      <c r="BJ187" s="399">
        <v>0</v>
      </c>
      <c r="BK187" s="399">
        <v>1062.6600000000001</v>
      </c>
      <c r="BL187" s="399">
        <v>2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>
        <v>27.54925121599204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145.80599999999998</v>
      </c>
      <c r="CJ187" s="399">
        <v>-19.644000000000005</v>
      </c>
      <c r="CK187" s="399"/>
      <c r="CL187" s="399"/>
      <c r="CM187" s="399"/>
      <c r="CN187" s="399"/>
      <c r="CO187" s="399">
        <v>-19.614000000000011</v>
      </c>
      <c r="CP187" s="399">
        <v>0</v>
      </c>
      <c r="CQ187" s="399">
        <v>31</v>
      </c>
      <c r="CR187" s="399">
        <v>-1.5116647564713617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-0.1150708244437979</v>
      </c>
      <c r="DA187" s="399">
        <v>0</v>
      </c>
      <c r="DB187" s="399">
        <v>0</v>
      </c>
      <c r="DC187" s="399">
        <v>0</v>
      </c>
      <c r="DD187" s="399">
        <v>0</v>
      </c>
      <c r="DE187" s="399">
        <v>0</v>
      </c>
      <c r="DF187" s="399">
        <v>0</v>
      </c>
      <c r="DG187" s="399">
        <v>0</v>
      </c>
      <c r="DH187" s="399">
        <v>0</v>
      </c>
      <c r="DI187" s="399">
        <v>-1.2006310332280989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-0.16038469937814415</v>
      </c>
      <c r="DP187" s="399">
        <v>-3.5578199421322065E-2</v>
      </c>
      <c r="DQ187" s="399">
        <v>0</v>
      </c>
      <c r="DR187" s="399">
        <v>0</v>
      </c>
      <c r="DS187" s="399"/>
      <c r="DT187" s="399"/>
      <c r="DU187" s="399"/>
      <c r="DV187" s="399">
        <v>101.8725897327658</v>
      </c>
      <c r="DW187" s="399">
        <v>0</v>
      </c>
      <c r="DX187" s="399">
        <v>0</v>
      </c>
      <c r="DY187" s="399">
        <v>-19.614000000000019</v>
      </c>
      <c r="DZ187" s="399">
        <v>0</v>
      </c>
      <c r="EA187" s="399">
        <v>0</v>
      </c>
      <c r="EB187" s="399">
        <v>0</v>
      </c>
      <c r="EC187" s="399">
        <v>-18.102144684701599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0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229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186</v>
      </c>
      <c r="B188" s="399" t="s">
        <v>954</v>
      </c>
      <c r="C188" s="399" t="s">
        <v>2344</v>
      </c>
      <c r="D188" s="399" t="s">
        <v>533</v>
      </c>
      <c r="E188" s="399" t="s">
        <v>888</v>
      </c>
      <c r="F188" s="399" t="s">
        <v>1237</v>
      </c>
      <c r="G188" s="399" t="s">
        <v>1237</v>
      </c>
      <c r="H188" s="399" t="s">
        <v>1237</v>
      </c>
      <c r="I188" s="399" t="s">
        <v>891</v>
      </c>
      <c r="J188" s="399" t="s">
        <v>2337</v>
      </c>
      <c r="K188" s="788">
        <v>44621</v>
      </c>
      <c r="L188" s="399">
        <v>0</v>
      </c>
      <c r="M188" s="399">
        <v>0</v>
      </c>
      <c r="N188" s="399">
        <v>117.13500000000001</v>
      </c>
      <c r="O188" s="399">
        <v>117.13500000000001</v>
      </c>
      <c r="P188" s="399">
        <v>117.13500000000001</v>
      </c>
      <c r="Q188" s="399">
        <v>117.13500000000001</v>
      </c>
      <c r="R188" s="399"/>
      <c r="S188" s="399">
        <v>3312.96</v>
      </c>
      <c r="T188" s="399">
        <v>119.97</v>
      </c>
      <c r="U188" s="399"/>
      <c r="V188" s="399">
        <v>402116.25555000006</v>
      </c>
      <c r="W188" s="399">
        <v>402116.25555000006</v>
      </c>
      <c r="X188" s="399">
        <v>349040.04435000004</v>
      </c>
      <c r="Y188" s="399">
        <v>0</v>
      </c>
      <c r="Z188" s="399">
        <v>6205.6418958634958</v>
      </c>
      <c r="AA188" s="399">
        <v>0</v>
      </c>
      <c r="AB188" s="399">
        <v>0</v>
      </c>
      <c r="AC188" s="399">
        <v>0</v>
      </c>
      <c r="AD188" s="399">
        <v>87574.694790998343</v>
      </c>
      <c r="AE188" s="399">
        <v>292039.90562983078</v>
      </c>
      <c r="AF188" s="399">
        <v>14053.13604985032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1102.2668118339075</v>
      </c>
      <c r="AM188" s="399"/>
      <c r="AN188" s="399">
        <v>98.479141947686514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1042.952165774331</v>
      </c>
      <c r="BH188" s="399">
        <v>0</v>
      </c>
      <c r="BI188" s="399">
        <v>0</v>
      </c>
      <c r="BJ188" s="399">
        <v>0</v>
      </c>
      <c r="BK188" s="399">
        <v>0</v>
      </c>
      <c r="BL188" s="399">
        <v>0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15096.088215624652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349054.94340000005</v>
      </c>
      <c r="CJ188" s="399">
        <v>-53061.34215000004</v>
      </c>
      <c r="CK188" s="399"/>
      <c r="CL188" s="399"/>
      <c r="CM188" s="399"/>
      <c r="CN188" s="399"/>
      <c r="CO188" s="399">
        <v>-53076.211199999991</v>
      </c>
      <c r="CP188" s="399">
        <v>0</v>
      </c>
      <c r="CQ188" s="399">
        <v>31</v>
      </c>
      <c r="CR188" s="399">
        <v>-1182.3831590153859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-468.5403702918411</v>
      </c>
      <c r="DA188" s="399">
        <v>0</v>
      </c>
      <c r="DB188" s="399">
        <v>0</v>
      </c>
      <c r="DC188" s="399">
        <v>0</v>
      </c>
      <c r="DD188" s="399">
        <v>0</v>
      </c>
      <c r="DE188" s="399">
        <v>0</v>
      </c>
      <c r="DF188" s="399">
        <v>0</v>
      </c>
      <c r="DG188" s="399">
        <v>0</v>
      </c>
      <c r="DH188" s="399">
        <v>0</v>
      </c>
      <c r="DI188" s="399">
        <v>-611.7662349357006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-93.933308808294669</v>
      </c>
      <c r="DP188" s="399">
        <v>-8.1432449795498627</v>
      </c>
      <c r="DQ188" s="399">
        <v>0</v>
      </c>
      <c r="DR188" s="399">
        <v>0</v>
      </c>
      <c r="DS188" s="399"/>
      <c r="DT188" s="399"/>
      <c r="DU188" s="399"/>
      <c r="DV188" s="399">
        <v>292039.90562983078</v>
      </c>
      <c r="DW188" s="399">
        <v>0</v>
      </c>
      <c r="DX188" s="399">
        <v>0</v>
      </c>
      <c r="DY188" s="399">
        <v>-53076.21120000002</v>
      </c>
      <c r="DZ188" s="399">
        <v>0</v>
      </c>
      <c r="EA188" s="399">
        <v>0</v>
      </c>
      <c r="EB188" s="399">
        <v>0</v>
      </c>
      <c r="EC188" s="399">
        <v>-51893.729601706844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229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187</v>
      </c>
      <c r="B189" s="399" t="s">
        <v>2339</v>
      </c>
      <c r="C189" s="399" t="s">
        <v>2344</v>
      </c>
      <c r="D189" s="399" t="s">
        <v>533</v>
      </c>
      <c r="E189" s="399" t="s">
        <v>888</v>
      </c>
      <c r="F189" s="399" t="s">
        <v>1237</v>
      </c>
      <c r="G189" s="399" t="s">
        <v>1237</v>
      </c>
      <c r="H189" s="399" t="s">
        <v>1237</v>
      </c>
      <c r="I189" s="399" t="s">
        <v>891</v>
      </c>
      <c r="J189" s="399" t="s">
        <v>2337</v>
      </c>
      <c r="K189" s="788">
        <v>44621</v>
      </c>
      <c r="L189" s="399">
        <v>0</v>
      </c>
      <c r="M189" s="399">
        <v>0</v>
      </c>
      <c r="N189" s="399">
        <v>2.831</v>
      </c>
      <c r="O189" s="399">
        <v>2.831</v>
      </c>
      <c r="P189" s="399">
        <v>2.831</v>
      </c>
      <c r="Q189" s="399">
        <v>2.831</v>
      </c>
      <c r="R189" s="399"/>
      <c r="S189" s="399">
        <v>3312.96</v>
      </c>
      <c r="T189" s="399">
        <v>119.97</v>
      </c>
      <c r="U189" s="399"/>
      <c r="V189" s="399">
        <v>9718.6248300000007</v>
      </c>
      <c r="W189" s="399">
        <v>9718.6248300000007</v>
      </c>
      <c r="X189" s="399">
        <v>8435.8421099999996</v>
      </c>
      <c r="Y189" s="399">
        <v>0</v>
      </c>
      <c r="Z189" s="399">
        <v>149.9822615545273</v>
      </c>
      <c r="AA189" s="399">
        <v>0</v>
      </c>
      <c r="AB189" s="399">
        <v>0</v>
      </c>
      <c r="AC189" s="399">
        <v>0</v>
      </c>
      <c r="AD189" s="399">
        <v>2116.5660217126933</v>
      </c>
      <c r="AE189" s="399">
        <v>7058.223185538488</v>
      </c>
      <c r="AF189" s="399">
        <v>339.64594832566058</v>
      </c>
      <c r="AG189" s="399">
        <v>0</v>
      </c>
      <c r="AH189" s="399">
        <v>0</v>
      </c>
      <c r="AI189" s="399">
        <v>0</v>
      </c>
      <c r="AJ189" s="399">
        <v>0</v>
      </c>
      <c r="AK189" s="399">
        <v>0</v>
      </c>
      <c r="AL189" s="399">
        <v>26.640349547972782</v>
      </c>
      <c r="AM189" s="399"/>
      <c r="AN189" s="399">
        <v>2.3801122709173219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25.206792003304997</v>
      </c>
      <c r="BH189" s="399">
        <v>0</v>
      </c>
      <c r="BI189" s="399">
        <v>0</v>
      </c>
      <c r="BJ189" s="399">
        <v>0</v>
      </c>
      <c r="BK189" s="399">
        <v>0</v>
      </c>
      <c r="BL189" s="399">
        <v>0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>
        <v>364.85274032896558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8432.8623000000007</v>
      </c>
      <c r="CJ189" s="399">
        <v>-1285.7925300000006</v>
      </c>
      <c r="CK189" s="399"/>
      <c r="CL189" s="399"/>
      <c r="CM189" s="399"/>
      <c r="CN189" s="399"/>
      <c r="CO189" s="399">
        <v>-1282.7827199999997</v>
      </c>
      <c r="CP189" s="399">
        <v>0</v>
      </c>
      <c r="CQ189" s="399">
        <v>31</v>
      </c>
      <c r="CR189" s="399">
        <v>-28.576657046762648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-11.324008949470681</v>
      </c>
      <c r="DA189" s="399">
        <v>0</v>
      </c>
      <c r="DB189" s="399">
        <v>0</v>
      </c>
      <c r="DC189" s="399">
        <v>0</v>
      </c>
      <c r="DD189" s="399">
        <v>0</v>
      </c>
      <c r="DE189" s="399">
        <v>0</v>
      </c>
      <c r="DF189" s="399">
        <v>0</v>
      </c>
      <c r="DG189" s="399">
        <v>0</v>
      </c>
      <c r="DH189" s="399">
        <v>0</v>
      </c>
      <c r="DI189" s="399">
        <v>-14.785591079548965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-2.270245419697634</v>
      </c>
      <c r="DP189" s="399">
        <v>-0.19681159804589266</v>
      </c>
      <c r="DQ189" s="399">
        <v>0</v>
      </c>
      <c r="DR189" s="399">
        <v>0</v>
      </c>
      <c r="DS189" s="399"/>
      <c r="DT189" s="399"/>
      <c r="DU189" s="399"/>
      <c r="DV189" s="399">
        <v>7058.223185538488</v>
      </c>
      <c r="DW189" s="399">
        <v>0</v>
      </c>
      <c r="DX189" s="399">
        <v>0</v>
      </c>
      <c r="DY189" s="399">
        <v>-1282.7827200000002</v>
      </c>
      <c r="DZ189" s="399">
        <v>0</v>
      </c>
      <c r="EA189" s="399">
        <v>0</v>
      </c>
      <c r="EB189" s="399">
        <v>0</v>
      </c>
      <c r="EC189" s="399">
        <v>-1254.2036838044305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229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188</v>
      </c>
      <c r="B190" s="399" t="s">
        <v>954</v>
      </c>
      <c r="C190" s="399" t="s">
        <v>2344</v>
      </c>
      <c r="D190" s="399" t="s">
        <v>533</v>
      </c>
      <c r="E190" s="399" t="s">
        <v>888</v>
      </c>
      <c r="F190" s="399" t="s">
        <v>1237</v>
      </c>
      <c r="G190" s="399" t="s">
        <v>1237</v>
      </c>
      <c r="H190" s="399" t="s">
        <v>1237</v>
      </c>
      <c r="I190" s="399" t="s">
        <v>2322</v>
      </c>
      <c r="J190" s="399" t="s">
        <v>2337</v>
      </c>
      <c r="K190" s="788">
        <v>44621</v>
      </c>
      <c r="L190" s="399">
        <v>0</v>
      </c>
      <c r="M190" s="399">
        <v>0</v>
      </c>
      <c r="N190" s="399">
        <v>2624.4560000000001</v>
      </c>
      <c r="O190" s="399">
        <v>2624.4560000000001</v>
      </c>
      <c r="P190" s="399">
        <v>2624.4560000000001</v>
      </c>
      <c r="Q190" s="399">
        <v>2624.4560000000001</v>
      </c>
      <c r="R190" s="399"/>
      <c r="S190" s="399">
        <v>72.13</v>
      </c>
      <c r="T190" s="399">
        <v>119.97</v>
      </c>
      <c r="U190" s="399"/>
      <c r="V190" s="399">
        <v>504157.9976</v>
      </c>
      <c r="W190" s="399">
        <v>504157.9976</v>
      </c>
      <c r="X190" s="399">
        <v>488175.06056000001</v>
      </c>
      <c r="Y190" s="399">
        <v>0</v>
      </c>
      <c r="Z190" s="399">
        <v>139039.86090792954</v>
      </c>
      <c r="AA190" s="399">
        <v>0</v>
      </c>
      <c r="AB190" s="399">
        <v>0</v>
      </c>
      <c r="AC190" s="399">
        <v>0</v>
      </c>
      <c r="AD190" s="399">
        <v>0</v>
      </c>
      <c r="AE190" s="399">
        <v>0</v>
      </c>
      <c r="AF190" s="399">
        <v>314866.07098515361</v>
      </c>
      <c r="AG190" s="399">
        <v>0</v>
      </c>
      <c r="AH190" s="399">
        <v>0</v>
      </c>
      <c r="AI190" s="399">
        <v>0</v>
      </c>
      <c r="AJ190" s="399">
        <v>0</v>
      </c>
      <c r="AK190" s="399">
        <v>0</v>
      </c>
      <c r="AL190" s="399">
        <v>24696.723847853922</v>
      </c>
      <c r="AM190" s="399"/>
      <c r="AN190" s="399">
        <v>2206.4641222474716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23367.755744904916</v>
      </c>
      <c r="BH190" s="399">
        <v>0</v>
      </c>
      <c r="BI190" s="399">
        <v>0</v>
      </c>
      <c r="BJ190" s="399">
        <v>0</v>
      </c>
      <c r="BK190" s="399">
        <v>0</v>
      </c>
      <c r="BL190" s="399">
        <v>0</v>
      </c>
      <c r="BM190" s="399"/>
      <c r="BN190" s="399"/>
      <c r="BO190" s="399"/>
      <c r="BP190" s="399"/>
      <c r="BQ190" s="399"/>
      <c r="BR190" s="399"/>
      <c r="BS190" s="399"/>
      <c r="BT190" s="399"/>
      <c r="BU190" s="399"/>
      <c r="BV190" s="399">
        <v>338233.82673005853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488175.80460000003</v>
      </c>
      <c r="CJ190" s="399">
        <v>-15982.222999999998</v>
      </c>
      <c r="CK190" s="399"/>
      <c r="CL190" s="399"/>
      <c r="CM190" s="399"/>
      <c r="CN190" s="399"/>
      <c r="CO190" s="399">
        <v>-15982.937039999972</v>
      </c>
      <c r="CP190" s="399">
        <v>0</v>
      </c>
      <c r="CQ190" s="399">
        <v>31</v>
      </c>
      <c r="CR190" s="399">
        <v>-15993.929994640639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0</v>
      </c>
      <c r="DA190" s="399">
        <v>0</v>
      </c>
      <c r="DB190" s="399">
        <v>0</v>
      </c>
      <c r="DC190" s="399">
        <v>0</v>
      </c>
      <c r="DD190" s="399">
        <v>0</v>
      </c>
      <c r="DE190" s="399">
        <v>0</v>
      </c>
      <c r="DF190" s="399">
        <v>0</v>
      </c>
      <c r="DG190" s="399">
        <v>0</v>
      </c>
      <c r="DH190" s="399">
        <v>0</v>
      </c>
      <c r="DI190" s="399">
        <v>-13706.864437396231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-2104.6129329558316</v>
      </c>
      <c r="DP190" s="399">
        <v>-182.45262428863725</v>
      </c>
      <c r="DQ190" s="399">
        <v>0</v>
      </c>
      <c r="DR190" s="399">
        <v>0</v>
      </c>
      <c r="DS190" s="399"/>
      <c r="DT190" s="399"/>
      <c r="DU190" s="399"/>
      <c r="DV190" s="399">
        <v>0</v>
      </c>
      <c r="DW190" s="399">
        <v>0</v>
      </c>
      <c r="DX190" s="399">
        <v>0</v>
      </c>
      <c r="DY190" s="399">
        <v>-15982.93703999999</v>
      </c>
      <c r="DZ190" s="399">
        <v>0</v>
      </c>
      <c r="EA190" s="399">
        <v>0</v>
      </c>
      <c r="EB190" s="399">
        <v>0</v>
      </c>
      <c r="EC190" s="399">
        <v>0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229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189</v>
      </c>
      <c r="B191" s="399" t="s">
        <v>2339</v>
      </c>
      <c r="C191" s="399" t="s">
        <v>2344</v>
      </c>
      <c r="D191" s="399" t="s">
        <v>533</v>
      </c>
      <c r="E191" s="399" t="s">
        <v>888</v>
      </c>
      <c r="F191" s="399" t="s">
        <v>1237</v>
      </c>
      <c r="G191" s="399" t="s">
        <v>1237</v>
      </c>
      <c r="H191" s="399" t="s">
        <v>1237</v>
      </c>
      <c r="I191" s="399" t="s">
        <v>2322</v>
      </c>
      <c r="J191" s="399" t="s">
        <v>2337</v>
      </c>
      <c r="K191" s="788">
        <v>44621</v>
      </c>
      <c r="L191" s="399">
        <v>0</v>
      </c>
      <c r="M191" s="399">
        <v>0</v>
      </c>
      <c r="N191" s="399">
        <v>14.577999999999999</v>
      </c>
      <c r="O191" s="399">
        <v>14.577999999999999</v>
      </c>
      <c r="P191" s="399">
        <v>14.577999999999999</v>
      </c>
      <c r="Q191" s="399">
        <v>14.577999999999999</v>
      </c>
      <c r="R191" s="399"/>
      <c r="S191" s="399">
        <v>72.13</v>
      </c>
      <c r="T191" s="399">
        <v>119.97</v>
      </c>
      <c r="U191" s="399"/>
      <c r="V191" s="399">
        <v>2800.4337999999998</v>
      </c>
      <c r="W191" s="399">
        <v>2800.4337999999998</v>
      </c>
      <c r="X191" s="399">
        <v>2711.6537800000001</v>
      </c>
      <c r="Y191" s="399">
        <v>0</v>
      </c>
      <c r="Z191" s="399">
        <v>772.32123240618125</v>
      </c>
      <c r="AA191" s="399">
        <v>0</v>
      </c>
      <c r="AB191" s="399">
        <v>0</v>
      </c>
      <c r="AC191" s="399">
        <v>0</v>
      </c>
      <c r="AD191" s="399">
        <v>0</v>
      </c>
      <c r="AE191" s="399">
        <v>0</v>
      </c>
      <c r="AF191" s="399">
        <v>1748.9786770369058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137.1822732993102</v>
      </c>
      <c r="AM191" s="399"/>
      <c r="AN191" s="399">
        <v>12.256190987436495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129.80028746880262</v>
      </c>
      <c r="BH191" s="399">
        <v>0</v>
      </c>
      <c r="BI191" s="399">
        <v>0</v>
      </c>
      <c r="BJ191" s="399">
        <v>0</v>
      </c>
      <c r="BK191" s="399">
        <v>0</v>
      </c>
      <c r="BL191" s="399">
        <v>0</v>
      </c>
      <c r="BM191" s="399"/>
      <c r="BN191" s="399"/>
      <c r="BO191" s="399"/>
      <c r="BP191" s="399"/>
      <c r="BQ191" s="399"/>
      <c r="BR191" s="399"/>
      <c r="BS191" s="399"/>
      <c r="BT191" s="399"/>
      <c r="BU191" s="399"/>
      <c r="BV191" s="399">
        <v>1878.7789645057085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2712.0257999999999</v>
      </c>
      <c r="CJ191" s="399">
        <v>-88.438000000000102</v>
      </c>
      <c r="CK191" s="399"/>
      <c r="CL191" s="399"/>
      <c r="CM191" s="399"/>
      <c r="CN191" s="399"/>
      <c r="CO191" s="399">
        <v>-88.780019999999837</v>
      </c>
      <c r="CP191" s="399">
        <v>0</v>
      </c>
      <c r="CQ191" s="399">
        <v>31</v>
      </c>
      <c r="CR191" s="399">
        <v>-88.841082289766746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0</v>
      </c>
      <c r="DA191" s="399">
        <v>0</v>
      </c>
      <c r="DB191" s="399">
        <v>0</v>
      </c>
      <c r="DC191" s="399">
        <v>0</v>
      </c>
      <c r="DD191" s="399">
        <v>0</v>
      </c>
      <c r="DE191" s="399">
        <v>0</v>
      </c>
      <c r="DF191" s="399">
        <v>0</v>
      </c>
      <c r="DG191" s="399">
        <v>0</v>
      </c>
      <c r="DH191" s="399">
        <v>0</v>
      </c>
      <c r="DI191" s="399">
        <v>-76.137176530436136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-11.690440737672915</v>
      </c>
      <c r="DP191" s="399">
        <v>-1.0134650216577263</v>
      </c>
      <c r="DQ191" s="399">
        <v>0</v>
      </c>
      <c r="DR191" s="399">
        <v>0</v>
      </c>
      <c r="DS191" s="399"/>
      <c r="DT191" s="399"/>
      <c r="DU191" s="399"/>
      <c r="DV191" s="399">
        <v>0</v>
      </c>
      <c r="DW191" s="399">
        <v>0</v>
      </c>
      <c r="DX191" s="399">
        <v>0</v>
      </c>
      <c r="DY191" s="399">
        <v>-88.780019999999809</v>
      </c>
      <c r="DZ191" s="399">
        <v>0</v>
      </c>
      <c r="EA191" s="399">
        <v>0</v>
      </c>
      <c r="EB191" s="399">
        <v>0</v>
      </c>
      <c r="EC191" s="399">
        <v>0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229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190</v>
      </c>
      <c r="B192" s="399" t="s">
        <v>954</v>
      </c>
      <c r="C192" s="399" t="s">
        <v>2344</v>
      </c>
      <c r="D192" s="399" t="s">
        <v>533</v>
      </c>
      <c r="E192" s="399" t="s">
        <v>888</v>
      </c>
      <c r="F192" s="399" t="s">
        <v>1237</v>
      </c>
      <c r="G192" s="399" t="s">
        <v>1237</v>
      </c>
      <c r="H192" s="399" t="s">
        <v>1237</v>
      </c>
      <c r="I192" s="399" t="s">
        <v>1237</v>
      </c>
      <c r="J192" s="399" t="s">
        <v>2337</v>
      </c>
      <c r="K192" s="788">
        <v>44621</v>
      </c>
      <c r="L192" s="399">
        <v>10545</v>
      </c>
      <c r="M192" s="399">
        <v>10545</v>
      </c>
      <c r="N192" s="399">
        <v>0</v>
      </c>
      <c r="O192" s="399">
        <v>0</v>
      </c>
      <c r="P192" s="399">
        <v>0</v>
      </c>
      <c r="Q192" s="399">
        <v>0</v>
      </c>
      <c r="R192" s="399">
        <v>46.29</v>
      </c>
      <c r="S192" s="399"/>
      <c r="T192" s="399"/>
      <c r="U192" s="399">
        <v>488128.05</v>
      </c>
      <c r="V192" s="399"/>
      <c r="W192" s="399">
        <v>488128.05</v>
      </c>
      <c r="X192" s="399">
        <v>433926.75</v>
      </c>
      <c r="Y192" s="399">
        <v>0</v>
      </c>
      <c r="Z192" s="399">
        <v>0</v>
      </c>
      <c r="AA192" s="399">
        <v>0</v>
      </c>
      <c r="AB192" s="399">
        <v>0</v>
      </c>
      <c r="AC192" s="399">
        <v>0</v>
      </c>
      <c r="AD192" s="399">
        <v>188892.71547872518</v>
      </c>
      <c r="AE192" s="399">
        <v>299197.80152241635</v>
      </c>
      <c r="AF192" s="399"/>
      <c r="AG192" s="399"/>
      <c r="AH192" s="399"/>
      <c r="AI192" s="399">
        <v>0</v>
      </c>
      <c r="AJ192" s="399">
        <v>0</v>
      </c>
      <c r="AK192" s="399">
        <v>0</v>
      </c>
      <c r="AL192" s="399">
        <v>0</v>
      </c>
      <c r="AM192" s="399"/>
      <c r="AN192" s="399">
        <v>0</v>
      </c>
      <c r="AO192" s="399">
        <v>0</v>
      </c>
      <c r="AP192" s="399">
        <v>0</v>
      </c>
      <c r="AQ192" s="399">
        <v>0</v>
      </c>
      <c r="AR192" s="399">
        <v>0</v>
      </c>
      <c r="AS192" s="399"/>
      <c r="AT192" s="399"/>
      <c r="AU192" s="399">
        <v>0</v>
      </c>
      <c r="AV192" s="399">
        <v>0</v>
      </c>
      <c r="AW192" s="399">
        <v>0</v>
      </c>
      <c r="AX192" s="399"/>
      <c r="AY192" s="399"/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/>
      <c r="BG192" s="399">
        <v>0</v>
      </c>
      <c r="BH192" s="399">
        <v>0</v>
      </c>
      <c r="BI192" s="399">
        <v>0</v>
      </c>
      <c r="BJ192" s="399">
        <v>0</v>
      </c>
      <c r="BK192" s="399">
        <v>545691.17000000004</v>
      </c>
      <c r="BL192" s="399">
        <v>26</v>
      </c>
      <c r="BM192" s="399"/>
      <c r="BN192" s="399"/>
      <c r="BO192" s="399"/>
      <c r="BP192" s="399"/>
      <c r="BQ192" s="399"/>
      <c r="BR192" s="399"/>
      <c r="BS192" s="399"/>
      <c r="BT192" s="399"/>
      <c r="BU192" s="399"/>
      <c r="BV192" s="399">
        <v>0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433926.75</v>
      </c>
      <c r="CJ192" s="399">
        <v>-54201.330000000016</v>
      </c>
      <c r="CK192" s="399"/>
      <c r="CL192" s="399"/>
      <c r="CM192" s="399"/>
      <c r="CN192" s="399"/>
      <c r="CO192" s="399">
        <v>-54201.3</v>
      </c>
      <c r="CP192" s="399">
        <v>0</v>
      </c>
      <c r="CQ192" s="399">
        <v>31</v>
      </c>
      <c r="CR192" s="399">
        <v>-1010.6100063160702</v>
      </c>
      <c r="CS192" s="399">
        <v>0</v>
      </c>
      <c r="CT192" s="399">
        <v>0</v>
      </c>
      <c r="CU192" s="399">
        <v>0</v>
      </c>
      <c r="CV192" s="399">
        <v>0</v>
      </c>
      <c r="CW192" s="399"/>
      <c r="CX192" s="399"/>
      <c r="CY192" s="399"/>
      <c r="CZ192" s="399">
        <v>-1010.6100063160702</v>
      </c>
      <c r="DA192" s="399">
        <v>0</v>
      </c>
      <c r="DB192" s="399">
        <v>0</v>
      </c>
      <c r="DC192" s="399"/>
      <c r="DD192" s="399"/>
      <c r="DE192" s="399">
        <v>0</v>
      </c>
      <c r="DF192" s="399">
        <v>0</v>
      </c>
      <c r="DG192" s="399">
        <v>0</v>
      </c>
      <c r="DH192" s="399">
        <v>0</v>
      </c>
      <c r="DI192" s="399">
        <v>0</v>
      </c>
      <c r="DJ192" s="399"/>
      <c r="DK192" s="399">
        <v>0</v>
      </c>
      <c r="DL192" s="399">
        <v>0</v>
      </c>
      <c r="DM192" s="399"/>
      <c r="DN192" s="399">
        <v>0</v>
      </c>
      <c r="DO192" s="399">
        <v>0</v>
      </c>
      <c r="DP192" s="399">
        <v>0</v>
      </c>
      <c r="DQ192" s="399">
        <v>0</v>
      </c>
      <c r="DR192" s="399">
        <v>0</v>
      </c>
      <c r="DS192" s="399"/>
      <c r="DT192" s="399"/>
      <c r="DU192" s="399">
        <v>299197.80152241635</v>
      </c>
      <c r="DV192" s="399"/>
      <c r="DW192" s="399">
        <v>0</v>
      </c>
      <c r="DX192" s="399">
        <v>0</v>
      </c>
      <c r="DY192" s="399">
        <v>-54201.299999999988</v>
      </c>
      <c r="DZ192" s="399"/>
      <c r="EA192" s="399">
        <v>0</v>
      </c>
      <c r="EB192" s="399"/>
      <c r="EC192" s="399">
        <v>-53165.644524313335</v>
      </c>
      <c r="ED192" s="399"/>
      <c r="EE192" s="399">
        <v>0</v>
      </c>
      <c r="EF192" s="399">
        <v>0</v>
      </c>
      <c r="EG192" s="399"/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/>
      <c r="EN192" s="399"/>
      <c r="EO192" s="399">
        <v>0</v>
      </c>
      <c r="EP192" s="399">
        <v>0</v>
      </c>
      <c r="EQ192" s="399"/>
      <c r="ER192" s="399">
        <v>0</v>
      </c>
      <c r="ES192" s="399"/>
      <c r="ET192" s="399">
        <v>0</v>
      </c>
      <c r="EU192" s="399"/>
      <c r="EV192" s="399">
        <v>229</v>
      </c>
      <c r="EW192" s="399"/>
      <c r="EX192" s="399"/>
      <c r="EY192" s="399"/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191</v>
      </c>
      <c r="B193" s="399" t="s">
        <v>2339</v>
      </c>
      <c r="C193" s="399" t="s">
        <v>2344</v>
      </c>
      <c r="D193" s="399" t="s">
        <v>533</v>
      </c>
      <c r="E193" s="399" t="s">
        <v>888</v>
      </c>
      <c r="F193" s="399" t="s">
        <v>1237</v>
      </c>
      <c r="G193" s="399" t="s">
        <v>1237</v>
      </c>
      <c r="H193" s="399" t="s">
        <v>1237</v>
      </c>
      <c r="I193" s="399" t="s">
        <v>1237</v>
      </c>
      <c r="J193" s="399" t="s">
        <v>2337</v>
      </c>
      <c r="K193" s="788">
        <v>44621</v>
      </c>
      <c r="L193" s="399">
        <v>100</v>
      </c>
      <c r="M193" s="399">
        <v>100</v>
      </c>
      <c r="N193" s="399">
        <v>0</v>
      </c>
      <c r="O193" s="399">
        <v>0</v>
      </c>
      <c r="P193" s="399">
        <v>0</v>
      </c>
      <c r="Q193" s="399">
        <v>0</v>
      </c>
      <c r="R193" s="399">
        <v>46.29</v>
      </c>
      <c r="S193" s="399"/>
      <c r="T193" s="399"/>
      <c r="U193" s="399">
        <v>4629</v>
      </c>
      <c r="V193" s="399"/>
      <c r="W193" s="399">
        <v>4629</v>
      </c>
      <c r="X193" s="399">
        <v>4115</v>
      </c>
      <c r="Y193" s="399">
        <v>0</v>
      </c>
      <c r="Z193" s="399">
        <v>0</v>
      </c>
      <c r="AA193" s="399">
        <v>0</v>
      </c>
      <c r="AB193" s="399">
        <v>0</v>
      </c>
      <c r="AC193" s="399">
        <v>0</v>
      </c>
      <c r="AD193" s="399">
        <v>1791.3012373515901</v>
      </c>
      <c r="AE193" s="399">
        <v>2837.3428309380402</v>
      </c>
      <c r="AF193" s="399"/>
      <c r="AG193" s="399"/>
      <c r="AH193" s="399"/>
      <c r="AI193" s="399">
        <v>0</v>
      </c>
      <c r="AJ193" s="399">
        <v>0</v>
      </c>
      <c r="AK193" s="399">
        <v>0</v>
      </c>
      <c r="AL193" s="399">
        <v>0</v>
      </c>
      <c r="AM193" s="399"/>
      <c r="AN193" s="399">
        <v>0</v>
      </c>
      <c r="AO193" s="399">
        <v>0</v>
      </c>
      <c r="AP193" s="399">
        <v>0</v>
      </c>
      <c r="AQ193" s="399">
        <v>0</v>
      </c>
      <c r="AR193" s="399">
        <v>0</v>
      </c>
      <c r="AS193" s="399"/>
      <c r="AT193" s="399"/>
      <c r="AU193" s="399">
        <v>0</v>
      </c>
      <c r="AV193" s="399">
        <v>0</v>
      </c>
      <c r="AW193" s="399">
        <v>0</v>
      </c>
      <c r="AX193" s="399"/>
      <c r="AY193" s="399"/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/>
      <c r="BG193" s="399">
        <v>0</v>
      </c>
      <c r="BH193" s="399">
        <v>0</v>
      </c>
      <c r="BI193" s="399">
        <v>0</v>
      </c>
      <c r="BJ193" s="399">
        <v>0</v>
      </c>
      <c r="BK193" s="399">
        <v>5539.51</v>
      </c>
      <c r="BL193" s="399">
        <v>1</v>
      </c>
      <c r="BM193" s="399"/>
      <c r="BN193" s="399"/>
      <c r="BO193" s="399"/>
      <c r="BP193" s="399"/>
      <c r="BQ193" s="399"/>
      <c r="BR193" s="399"/>
      <c r="BS193" s="399"/>
      <c r="BT193" s="399"/>
      <c r="BU193" s="399"/>
      <c r="BV193" s="399">
        <v>0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4115</v>
      </c>
      <c r="CJ193" s="399">
        <v>-514.03000000000065</v>
      </c>
      <c r="CK193" s="399"/>
      <c r="CL193" s="399"/>
      <c r="CM193" s="399"/>
      <c r="CN193" s="399"/>
      <c r="CO193" s="399">
        <v>-514</v>
      </c>
      <c r="CP193" s="399">
        <v>0</v>
      </c>
      <c r="CQ193" s="399">
        <v>31</v>
      </c>
      <c r="CR193" s="399">
        <v>-9.5837838436800666</v>
      </c>
      <c r="CS193" s="399">
        <v>0</v>
      </c>
      <c r="CT193" s="399">
        <v>0</v>
      </c>
      <c r="CU193" s="399">
        <v>0</v>
      </c>
      <c r="CV193" s="399">
        <v>0</v>
      </c>
      <c r="CW193" s="399"/>
      <c r="CX193" s="399"/>
      <c r="CY193" s="399"/>
      <c r="CZ193" s="399">
        <v>-9.5837838436800666</v>
      </c>
      <c r="DA193" s="399">
        <v>0</v>
      </c>
      <c r="DB193" s="399">
        <v>0</v>
      </c>
      <c r="DC193" s="399"/>
      <c r="DD193" s="399"/>
      <c r="DE193" s="399">
        <v>0</v>
      </c>
      <c r="DF193" s="399">
        <v>0</v>
      </c>
      <c r="DG193" s="399">
        <v>0</v>
      </c>
      <c r="DH193" s="399">
        <v>0</v>
      </c>
      <c r="DI193" s="399">
        <v>0</v>
      </c>
      <c r="DJ193" s="399"/>
      <c r="DK193" s="399">
        <v>0</v>
      </c>
      <c r="DL193" s="399">
        <v>0</v>
      </c>
      <c r="DM193" s="399"/>
      <c r="DN193" s="399">
        <v>0</v>
      </c>
      <c r="DO193" s="399">
        <v>0</v>
      </c>
      <c r="DP193" s="399">
        <v>0</v>
      </c>
      <c r="DQ193" s="399">
        <v>0</v>
      </c>
      <c r="DR193" s="399">
        <v>0</v>
      </c>
      <c r="DS193" s="399"/>
      <c r="DT193" s="399"/>
      <c r="DU193" s="399">
        <v>2837.3428309380402</v>
      </c>
      <c r="DV193" s="399"/>
      <c r="DW193" s="399">
        <v>0</v>
      </c>
      <c r="DX193" s="399">
        <v>0</v>
      </c>
      <c r="DY193" s="399">
        <v>-514</v>
      </c>
      <c r="DZ193" s="399"/>
      <c r="EA193" s="399">
        <v>0</v>
      </c>
      <c r="EB193" s="399"/>
      <c r="EC193" s="399">
        <v>-504.17870577822032</v>
      </c>
      <c r="ED193" s="399"/>
      <c r="EE193" s="399">
        <v>0</v>
      </c>
      <c r="EF193" s="399">
        <v>0</v>
      </c>
      <c r="EG193" s="399"/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/>
      <c r="EN193" s="399"/>
      <c r="EO193" s="399">
        <v>0</v>
      </c>
      <c r="EP193" s="399">
        <v>0</v>
      </c>
      <c r="EQ193" s="399"/>
      <c r="ER193" s="399">
        <v>0</v>
      </c>
      <c r="ES193" s="399"/>
      <c r="ET193" s="399">
        <v>0</v>
      </c>
      <c r="EU193" s="399"/>
      <c r="EV193" s="399">
        <v>229</v>
      </c>
      <c r="EW193" s="399"/>
      <c r="EX193" s="399"/>
      <c r="EY193" s="399"/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192</v>
      </c>
      <c r="B194" s="399" t="s">
        <v>954</v>
      </c>
      <c r="C194" s="399" t="s">
        <v>2345</v>
      </c>
      <c r="D194" s="399" t="s">
        <v>1822</v>
      </c>
      <c r="E194" s="399" t="s">
        <v>888</v>
      </c>
      <c r="F194" s="399" t="s">
        <v>1237</v>
      </c>
      <c r="G194" s="399" t="s">
        <v>1237</v>
      </c>
      <c r="H194" s="399" t="s">
        <v>1237</v>
      </c>
      <c r="I194" s="399" t="s">
        <v>891</v>
      </c>
      <c r="J194" s="399" t="s">
        <v>2337</v>
      </c>
      <c r="K194" s="788">
        <v>44621</v>
      </c>
      <c r="L194" s="399">
        <v>0</v>
      </c>
      <c r="M194" s="399">
        <v>0</v>
      </c>
      <c r="N194" s="399">
        <v>7.2999999999999995E-2</v>
      </c>
      <c r="O194" s="399">
        <v>7.2999999999999995E-2</v>
      </c>
      <c r="P194" s="399">
        <v>7.2999999999999995E-2</v>
      </c>
      <c r="Q194" s="399">
        <v>7.2999999999999995E-2</v>
      </c>
      <c r="R194" s="399"/>
      <c r="S194" s="399">
        <v>2187.66</v>
      </c>
      <c r="T194" s="399">
        <v>119.97</v>
      </c>
      <c r="U194" s="399"/>
      <c r="V194" s="399">
        <v>168.45698999999999</v>
      </c>
      <c r="W194" s="399">
        <v>168.45698999999999</v>
      </c>
      <c r="X194" s="399">
        <v>145.33935</v>
      </c>
      <c r="Y194" s="399">
        <v>0</v>
      </c>
      <c r="Z194" s="399">
        <v>4.4453262092029133</v>
      </c>
      <c r="AA194" s="399">
        <v>0</v>
      </c>
      <c r="AB194" s="399">
        <v>0</v>
      </c>
      <c r="AC194" s="399">
        <v>0</v>
      </c>
      <c r="AD194" s="399">
        <v>26.688554339708613</v>
      </c>
      <c r="AE194" s="399">
        <v>126.4238700292169</v>
      </c>
      <c r="AF194" s="399">
        <v>8.7580905078676157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0.68694649134652519</v>
      </c>
      <c r="AM194" s="399"/>
      <c r="AN194" s="399">
        <v>0.15704480883810007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1.2973861859694775</v>
      </c>
      <c r="BH194" s="399">
        <v>0</v>
      </c>
      <c r="BI194" s="399">
        <v>0</v>
      </c>
      <c r="BJ194" s="399">
        <v>0</v>
      </c>
      <c r="BK194" s="399">
        <v>0</v>
      </c>
      <c r="BL194" s="399">
        <v>0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>
        <v>10.055476693837093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139.3665</v>
      </c>
      <c r="CJ194" s="399">
        <v>-29.120489999999961</v>
      </c>
      <c r="CK194" s="399"/>
      <c r="CL194" s="399"/>
      <c r="CM194" s="399"/>
      <c r="CN194" s="399"/>
      <c r="CO194" s="399">
        <v>-23.117639999999987</v>
      </c>
      <c r="CP194" s="399">
        <v>0</v>
      </c>
      <c r="CQ194" s="399">
        <v>31</v>
      </c>
      <c r="CR194" s="399">
        <v>-0.65254535171290939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-0.14278856652284944</v>
      </c>
      <c r="DA194" s="399">
        <v>0</v>
      </c>
      <c r="DB194" s="399">
        <v>0</v>
      </c>
      <c r="DC194" s="399">
        <v>0</v>
      </c>
      <c r="DD194" s="399">
        <v>0</v>
      </c>
      <c r="DE194" s="399">
        <v>0</v>
      </c>
      <c r="DF194" s="399">
        <v>0</v>
      </c>
      <c r="DG194" s="399">
        <v>0</v>
      </c>
      <c r="DH194" s="399">
        <v>0</v>
      </c>
      <c r="DI194" s="399">
        <v>-0.43823032712825682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-5.8540415273022561E-2</v>
      </c>
      <c r="DP194" s="399">
        <v>-1.298604278878257E-2</v>
      </c>
      <c r="DQ194" s="399">
        <v>0</v>
      </c>
      <c r="DR194" s="399">
        <v>0</v>
      </c>
      <c r="DS194" s="399"/>
      <c r="DT194" s="399"/>
      <c r="DU194" s="399"/>
      <c r="DV194" s="399">
        <v>126.4238700292169</v>
      </c>
      <c r="DW194" s="399">
        <v>0</v>
      </c>
      <c r="DX194" s="399">
        <v>0</v>
      </c>
      <c r="DY194" s="399">
        <v>-23.117639999999994</v>
      </c>
      <c r="DZ194" s="399">
        <v>0</v>
      </c>
      <c r="EA194" s="399">
        <v>0</v>
      </c>
      <c r="EB194" s="399">
        <v>0</v>
      </c>
      <c r="EC194" s="399">
        <v>-22.464759096358961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229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193</v>
      </c>
      <c r="B195" s="399" t="s">
        <v>954</v>
      </c>
      <c r="C195" s="399" t="s">
        <v>2345</v>
      </c>
      <c r="D195" s="399" t="s">
        <v>1822</v>
      </c>
      <c r="E195" s="399" t="s">
        <v>888</v>
      </c>
      <c r="F195" s="399" t="s">
        <v>1237</v>
      </c>
      <c r="G195" s="399" t="s">
        <v>1237</v>
      </c>
      <c r="H195" s="399" t="s">
        <v>1237</v>
      </c>
      <c r="I195" s="399" t="s">
        <v>2322</v>
      </c>
      <c r="J195" s="399" t="s">
        <v>2337</v>
      </c>
      <c r="K195" s="788">
        <v>44621</v>
      </c>
      <c r="L195" s="399">
        <v>0</v>
      </c>
      <c r="M195" s="399">
        <v>0</v>
      </c>
      <c r="N195" s="399">
        <v>35.738</v>
      </c>
      <c r="O195" s="399">
        <v>35.738</v>
      </c>
      <c r="P195" s="399">
        <v>35.738</v>
      </c>
      <c r="Q195" s="399">
        <v>35.738</v>
      </c>
      <c r="R195" s="399"/>
      <c r="S195" s="399">
        <v>509.72</v>
      </c>
      <c r="T195" s="399">
        <v>119.97</v>
      </c>
      <c r="U195" s="399"/>
      <c r="V195" s="399">
        <v>22503.861220000003</v>
      </c>
      <c r="W195" s="399">
        <v>22503.861220000003</v>
      </c>
      <c r="X195" s="399">
        <v>20040.440880000002</v>
      </c>
      <c r="Y195" s="399">
        <v>0</v>
      </c>
      <c r="Z195" s="399">
        <v>2176.2612063629276</v>
      </c>
      <c r="AA195" s="399">
        <v>0</v>
      </c>
      <c r="AB195" s="399">
        <v>0</v>
      </c>
      <c r="AC195" s="399">
        <v>0</v>
      </c>
      <c r="AD195" s="399">
        <v>2613.1385068287814</v>
      </c>
      <c r="AE195" s="399">
        <v>12378.465681641557</v>
      </c>
      <c r="AF195" s="399">
        <v>4287.625185892779</v>
      </c>
      <c r="AG195" s="399">
        <v>0</v>
      </c>
      <c r="AH195" s="399">
        <v>0</v>
      </c>
      <c r="AI195" s="399">
        <v>0</v>
      </c>
      <c r="AJ195" s="399">
        <v>0</v>
      </c>
      <c r="AK195" s="399">
        <v>0</v>
      </c>
      <c r="AL195" s="399">
        <v>336.302653530714</v>
      </c>
      <c r="AM195" s="399"/>
      <c r="AN195" s="399">
        <v>76.883114770630414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635.15051389283815</v>
      </c>
      <c r="BH195" s="399">
        <v>0</v>
      </c>
      <c r="BI195" s="399">
        <v>0</v>
      </c>
      <c r="BJ195" s="399">
        <v>0</v>
      </c>
      <c r="BK195" s="399">
        <v>0</v>
      </c>
      <c r="BL195" s="399">
        <v>0</v>
      </c>
      <c r="BM195" s="399"/>
      <c r="BN195" s="399"/>
      <c r="BO195" s="399"/>
      <c r="BP195" s="399"/>
      <c r="BQ195" s="399"/>
      <c r="BR195" s="399"/>
      <c r="BS195" s="399"/>
      <c r="BT195" s="399"/>
      <c r="BU195" s="399"/>
      <c r="BV195" s="399">
        <v>4922.7756997856168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20041.562400000003</v>
      </c>
      <c r="CJ195" s="399">
        <v>-2462.3288199999952</v>
      </c>
      <c r="CK195" s="399"/>
      <c r="CL195" s="399"/>
      <c r="CM195" s="399"/>
      <c r="CN195" s="399"/>
      <c r="CO195" s="399">
        <v>-2463.4203400000001</v>
      </c>
      <c r="CP195" s="399">
        <v>0</v>
      </c>
      <c r="CQ195" s="399">
        <v>31</v>
      </c>
      <c r="CR195" s="399">
        <v>-263.53813078357416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-13.980761069568416</v>
      </c>
      <c r="DA195" s="399">
        <v>0</v>
      </c>
      <c r="DB195" s="399">
        <v>0</v>
      </c>
      <c r="DC195" s="399">
        <v>0</v>
      </c>
      <c r="DD195" s="399">
        <v>0</v>
      </c>
      <c r="DE195" s="399">
        <v>0</v>
      </c>
      <c r="DF195" s="399">
        <v>0</v>
      </c>
      <c r="DG195" s="399">
        <v>0</v>
      </c>
      <c r="DH195" s="399">
        <v>0</v>
      </c>
      <c r="DI195" s="399">
        <v>-214.54075932752926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-28.659141931880583</v>
      </c>
      <c r="DP195" s="399">
        <v>-6.3574684545960451</v>
      </c>
      <c r="DQ195" s="399">
        <v>0</v>
      </c>
      <c r="DR195" s="399">
        <v>0</v>
      </c>
      <c r="DS195" s="399"/>
      <c r="DT195" s="399"/>
      <c r="DU195" s="399"/>
      <c r="DV195" s="399">
        <v>12378.465681641557</v>
      </c>
      <c r="DW195" s="399">
        <v>0</v>
      </c>
      <c r="DX195" s="399">
        <v>0</v>
      </c>
      <c r="DY195" s="399">
        <v>-2463.4203400000006</v>
      </c>
      <c r="DZ195" s="399">
        <v>0</v>
      </c>
      <c r="EA195" s="399">
        <v>0</v>
      </c>
      <c r="EB195" s="399">
        <v>0</v>
      </c>
      <c r="EC195" s="399">
        <v>-2199.578682857591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0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229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194</v>
      </c>
      <c r="B196" s="399" t="s">
        <v>954</v>
      </c>
      <c r="C196" s="399" t="s">
        <v>2345</v>
      </c>
      <c r="D196" s="399" t="s">
        <v>1822</v>
      </c>
      <c r="E196" s="399" t="s">
        <v>888</v>
      </c>
      <c r="F196" s="399" t="s">
        <v>1237</v>
      </c>
      <c r="G196" s="399" t="s">
        <v>1237</v>
      </c>
      <c r="H196" s="399" t="s">
        <v>1237</v>
      </c>
      <c r="I196" s="399" t="s">
        <v>1237</v>
      </c>
      <c r="J196" s="399" t="s">
        <v>2337</v>
      </c>
      <c r="K196" s="788">
        <v>44621</v>
      </c>
      <c r="L196" s="399">
        <v>0</v>
      </c>
      <c r="M196" s="399">
        <v>0</v>
      </c>
      <c r="N196" s="399">
        <v>0</v>
      </c>
      <c r="O196" s="399">
        <v>0</v>
      </c>
      <c r="P196" s="399">
        <v>0</v>
      </c>
      <c r="Q196" s="399">
        <v>0</v>
      </c>
      <c r="R196" s="399"/>
      <c r="S196" s="399"/>
      <c r="T196" s="399"/>
      <c r="U196" s="399"/>
      <c r="V196" s="399"/>
      <c r="W196" s="399"/>
      <c r="X196" s="399"/>
      <c r="Y196" s="399"/>
      <c r="Z196" s="399"/>
      <c r="AA196" s="399">
        <v>0</v>
      </c>
      <c r="AB196" s="399"/>
      <c r="AC196" s="399"/>
      <c r="AD196" s="399"/>
      <c r="AE196" s="399"/>
      <c r="AF196" s="399"/>
      <c r="AG196" s="399"/>
      <c r="AH196" s="399"/>
      <c r="AI196" s="399"/>
      <c r="AJ196" s="399"/>
      <c r="AK196" s="399"/>
      <c r="AL196" s="399"/>
      <c r="AM196" s="399"/>
      <c r="AN196" s="399"/>
      <c r="AO196" s="399"/>
      <c r="AP196" s="399"/>
      <c r="AQ196" s="399"/>
      <c r="AR196" s="399"/>
      <c r="AS196" s="399"/>
      <c r="AT196" s="399"/>
      <c r="AU196" s="399"/>
      <c r="AV196" s="399"/>
      <c r="AW196" s="399"/>
      <c r="AX196" s="399"/>
      <c r="AY196" s="399"/>
      <c r="AZ196" s="399">
        <v>0</v>
      </c>
      <c r="BA196" s="399"/>
      <c r="BB196" s="399"/>
      <c r="BC196" s="399"/>
      <c r="BD196" s="399"/>
      <c r="BE196" s="399"/>
      <c r="BF196" s="399"/>
      <c r="BG196" s="399"/>
      <c r="BH196" s="399"/>
      <c r="BI196" s="399">
        <v>0</v>
      </c>
      <c r="BJ196" s="399">
        <v>0</v>
      </c>
      <c r="BK196" s="399">
        <v>8511</v>
      </c>
      <c r="BL196" s="399">
        <v>7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/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/>
      <c r="CJ196" s="399">
        <v>-0.03</v>
      </c>
      <c r="CK196" s="399"/>
      <c r="CL196" s="399"/>
      <c r="CM196" s="399"/>
      <c r="CN196" s="399"/>
      <c r="CO196" s="399">
        <v>0</v>
      </c>
      <c r="CP196" s="399">
        <v>0</v>
      </c>
      <c r="CQ196" s="399">
        <v>31</v>
      </c>
      <c r="CR196" s="399"/>
      <c r="CS196" s="399"/>
      <c r="CT196" s="399"/>
      <c r="CU196" s="399"/>
      <c r="CV196" s="399"/>
      <c r="CW196" s="399"/>
      <c r="CX196" s="399"/>
      <c r="CY196" s="399"/>
      <c r="CZ196" s="399"/>
      <c r="DA196" s="399"/>
      <c r="DB196" s="399"/>
      <c r="DC196" s="399"/>
      <c r="DD196" s="399"/>
      <c r="DE196" s="399"/>
      <c r="DF196" s="399"/>
      <c r="DG196" s="399"/>
      <c r="DH196" s="399"/>
      <c r="DI196" s="399"/>
      <c r="DJ196" s="399"/>
      <c r="DK196" s="399">
        <v>0</v>
      </c>
      <c r="DL196" s="399"/>
      <c r="DM196" s="399"/>
      <c r="DN196" s="399"/>
      <c r="DO196" s="399"/>
      <c r="DP196" s="399"/>
      <c r="DQ196" s="399"/>
      <c r="DR196" s="399"/>
      <c r="DS196" s="399"/>
      <c r="DT196" s="399"/>
      <c r="DU196" s="399"/>
      <c r="DV196" s="399"/>
      <c r="DW196" s="399"/>
      <c r="DX196" s="399"/>
      <c r="DY196" s="399"/>
      <c r="DZ196" s="399"/>
      <c r="EA196" s="399"/>
      <c r="EB196" s="399"/>
      <c r="EC196" s="399"/>
      <c r="ED196" s="399"/>
      <c r="EE196" s="399"/>
      <c r="EF196" s="399"/>
      <c r="EG196" s="399"/>
      <c r="EH196" s="399"/>
      <c r="EI196" s="399"/>
      <c r="EJ196" s="399"/>
      <c r="EK196" s="399"/>
      <c r="EL196" s="399"/>
      <c r="EM196" s="399"/>
      <c r="EN196" s="399"/>
      <c r="EO196" s="399"/>
      <c r="EP196" s="399"/>
      <c r="EQ196" s="399"/>
      <c r="ER196" s="399"/>
      <c r="ES196" s="399"/>
      <c r="ET196" s="399"/>
      <c r="EU196" s="399"/>
      <c r="EV196" s="399">
        <v>229</v>
      </c>
      <c r="EW196" s="399"/>
      <c r="EX196" s="399"/>
      <c r="EY196" s="399"/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195</v>
      </c>
      <c r="B197" s="399" t="s">
        <v>2339</v>
      </c>
      <c r="C197" s="399" t="s">
        <v>2345</v>
      </c>
      <c r="D197" s="399" t="s">
        <v>1822</v>
      </c>
      <c r="E197" s="399" t="s">
        <v>888</v>
      </c>
      <c r="F197" s="399" t="s">
        <v>1237</v>
      </c>
      <c r="G197" s="399" t="s">
        <v>1237</v>
      </c>
      <c r="H197" s="399" t="s">
        <v>1237</v>
      </c>
      <c r="I197" s="399" t="s">
        <v>1237</v>
      </c>
      <c r="J197" s="399" t="s">
        <v>2337</v>
      </c>
      <c r="K197" s="788">
        <v>44621</v>
      </c>
      <c r="L197" s="399">
        <v>0</v>
      </c>
      <c r="M197" s="399">
        <v>0</v>
      </c>
      <c r="N197" s="399">
        <v>0</v>
      </c>
      <c r="O197" s="399">
        <v>0</v>
      </c>
      <c r="P197" s="399">
        <v>0</v>
      </c>
      <c r="Q197" s="399">
        <v>0</v>
      </c>
      <c r="R197" s="399"/>
      <c r="S197" s="399"/>
      <c r="T197" s="399"/>
      <c r="U197" s="399"/>
      <c r="V197" s="399"/>
      <c r="W197" s="399"/>
      <c r="X197" s="399"/>
      <c r="Y197" s="399"/>
      <c r="Z197" s="399"/>
      <c r="AA197" s="399">
        <v>0</v>
      </c>
      <c r="AB197" s="399"/>
      <c r="AC197" s="399"/>
      <c r="AD197" s="399"/>
      <c r="AE197" s="399"/>
      <c r="AF197" s="399"/>
      <c r="AG197" s="399"/>
      <c r="AH197" s="399"/>
      <c r="AI197" s="399"/>
      <c r="AJ197" s="399"/>
      <c r="AK197" s="399"/>
      <c r="AL197" s="399"/>
      <c r="AM197" s="399"/>
      <c r="AN197" s="399"/>
      <c r="AO197" s="399"/>
      <c r="AP197" s="399"/>
      <c r="AQ197" s="399"/>
      <c r="AR197" s="399"/>
      <c r="AS197" s="399"/>
      <c r="AT197" s="399"/>
      <c r="AU197" s="399"/>
      <c r="AV197" s="399"/>
      <c r="AW197" s="399"/>
      <c r="AX197" s="399"/>
      <c r="AY197" s="399"/>
      <c r="AZ197" s="399">
        <v>0</v>
      </c>
      <c r="BA197" s="399"/>
      <c r="BB197" s="399"/>
      <c r="BC197" s="399"/>
      <c r="BD197" s="399"/>
      <c r="BE197" s="399"/>
      <c r="BF197" s="399"/>
      <c r="BG197" s="399"/>
      <c r="BH197" s="399"/>
      <c r="BI197" s="399">
        <v>0</v>
      </c>
      <c r="BJ197" s="399">
        <v>0</v>
      </c>
      <c r="BK197" s="399">
        <v>907.55</v>
      </c>
      <c r="BL197" s="399">
        <v>2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/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/>
      <c r="CJ197" s="399">
        <v>-0.03</v>
      </c>
      <c r="CK197" s="399"/>
      <c r="CL197" s="399"/>
      <c r="CM197" s="399"/>
      <c r="CN197" s="399"/>
      <c r="CO197" s="399">
        <v>0</v>
      </c>
      <c r="CP197" s="399">
        <v>0</v>
      </c>
      <c r="CQ197" s="399">
        <v>31</v>
      </c>
      <c r="CR197" s="399"/>
      <c r="CS197" s="399"/>
      <c r="CT197" s="399"/>
      <c r="CU197" s="399"/>
      <c r="CV197" s="399"/>
      <c r="CW197" s="399"/>
      <c r="CX197" s="399"/>
      <c r="CY197" s="399"/>
      <c r="CZ197" s="399"/>
      <c r="DA197" s="399"/>
      <c r="DB197" s="399"/>
      <c r="DC197" s="399"/>
      <c r="DD197" s="399"/>
      <c r="DE197" s="399"/>
      <c r="DF197" s="399"/>
      <c r="DG197" s="399"/>
      <c r="DH197" s="399"/>
      <c r="DI197" s="399"/>
      <c r="DJ197" s="399"/>
      <c r="DK197" s="399">
        <v>0</v>
      </c>
      <c r="DL197" s="399"/>
      <c r="DM197" s="399"/>
      <c r="DN197" s="399"/>
      <c r="DO197" s="399"/>
      <c r="DP197" s="399"/>
      <c r="DQ197" s="399"/>
      <c r="DR197" s="399"/>
      <c r="DS197" s="399"/>
      <c r="DT197" s="399"/>
      <c r="DU197" s="399"/>
      <c r="DV197" s="399"/>
      <c r="DW197" s="399"/>
      <c r="DX197" s="399"/>
      <c r="DY197" s="399"/>
      <c r="DZ197" s="399"/>
      <c r="EA197" s="399"/>
      <c r="EB197" s="399"/>
      <c r="EC197" s="399"/>
      <c r="ED197" s="399"/>
      <c r="EE197" s="399"/>
      <c r="EF197" s="399"/>
      <c r="EG197" s="399"/>
      <c r="EH197" s="399"/>
      <c r="EI197" s="399"/>
      <c r="EJ197" s="399"/>
      <c r="EK197" s="399"/>
      <c r="EL197" s="399"/>
      <c r="EM197" s="399"/>
      <c r="EN197" s="399"/>
      <c r="EO197" s="399"/>
      <c r="EP197" s="399"/>
      <c r="EQ197" s="399"/>
      <c r="ER197" s="399"/>
      <c r="ES197" s="399"/>
      <c r="ET197" s="399"/>
      <c r="EU197" s="399"/>
      <c r="EV197" s="399">
        <v>229</v>
      </c>
      <c r="EW197" s="399"/>
      <c r="EX197" s="399"/>
      <c r="EY197" s="399"/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196</v>
      </c>
      <c r="B198" s="399" t="s">
        <v>954</v>
      </c>
      <c r="C198" s="399" t="s">
        <v>2345</v>
      </c>
      <c r="D198" s="399" t="s">
        <v>1822</v>
      </c>
      <c r="E198" s="399" t="s">
        <v>888</v>
      </c>
      <c r="F198" s="399" t="s">
        <v>1237</v>
      </c>
      <c r="G198" s="399" t="s">
        <v>1237</v>
      </c>
      <c r="H198" s="399" t="s">
        <v>1237</v>
      </c>
      <c r="I198" s="399" t="s">
        <v>2346</v>
      </c>
      <c r="J198" s="399" t="s">
        <v>2337</v>
      </c>
      <c r="K198" s="788">
        <v>44621</v>
      </c>
      <c r="L198" s="399">
        <v>0</v>
      </c>
      <c r="M198" s="399">
        <v>0</v>
      </c>
      <c r="N198" s="399">
        <v>0.185</v>
      </c>
      <c r="O198" s="399">
        <v>0.185</v>
      </c>
      <c r="P198" s="399">
        <v>0.185</v>
      </c>
      <c r="Q198" s="399">
        <v>0.185</v>
      </c>
      <c r="R198" s="399"/>
      <c r="S198" s="399">
        <v>1348.63</v>
      </c>
      <c r="T198" s="399">
        <v>119.97</v>
      </c>
      <c r="U198" s="399"/>
      <c r="V198" s="399">
        <v>271.69100000000003</v>
      </c>
      <c r="W198" s="399">
        <v>271.69100000000003</v>
      </c>
      <c r="X198" s="399">
        <v>236.02299999999997</v>
      </c>
      <c r="Y198" s="399">
        <v>0</v>
      </c>
      <c r="Z198" s="399">
        <v>11.265552721952588</v>
      </c>
      <c r="AA198" s="399">
        <v>0</v>
      </c>
      <c r="AB198" s="399">
        <v>0</v>
      </c>
      <c r="AC198" s="399">
        <v>0</v>
      </c>
      <c r="AD198" s="399">
        <v>40.569916197963273</v>
      </c>
      <c r="AE198" s="399">
        <v>192.23353827461852</v>
      </c>
      <c r="AF198" s="399">
        <v>22.195160876102864</v>
      </c>
      <c r="AG198" s="399">
        <v>0</v>
      </c>
      <c r="AH198" s="399">
        <v>0</v>
      </c>
      <c r="AI198" s="399">
        <v>0</v>
      </c>
      <c r="AJ198" s="399">
        <v>0</v>
      </c>
      <c r="AK198" s="399">
        <v>0</v>
      </c>
      <c r="AL198" s="399">
        <v>1.7408917931384544</v>
      </c>
      <c r="AM198" s="399"/>
      <c r="AN198" s="399">
        <v>0.39799026897326728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3.2878964986897721</v>
      </c>
      <c r="BH198" s="399">
        <v>0</v>
      </c>
      <c r="BI198" s="399">
        <v>0</v>
      </c>
      <c r="BJ198" s="399">
        <v>0</v>
      </c>
      <c r="BK198" s="399">
        <v>0</v>
      </c>
      <c r="BL198" s="399">
        <v>0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>
        <v>25.483057374792637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242.40199999999999</v>
      </c>
      <c r="CJ198" s="399">
        <v>-29.319000000000017</v>
      </c>
      <c r="CK198" s="399"/>
      <c r="CL198" s="399"/>
      <c r="CM198" s="399"/>
      <c r="CN198" s="399"/>
      <c r="CO198" s="399">
        <v>-35.668000000000035</v>
      </c>
      <c r="CP198" s="399">
        <v>0</v>
      </c>
      <c r="CQ198" s="399">
        <v>31</v>
      </c>
      <c r="CR198" s="399">
        <v>-1.5089057366048166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-0.21705634947930008</v>
      </c>
      <c r="DA198" s="399">
        <v>0</v>
      </c>
      <c r="DB198" s="399">
        <v>0</v>
      </c>
      <c r="DC198" s="399">
        <v>0</v>
      </c>
      <c r="DD198" s="399">
        <v>0</v>
      </c>
      <c r="DE198" s="399">
        <v>0</v>
      </c>
      <c r="DF198" s="399">
        <v>0</v>
      </c>
      <c r="DG198" s="399">
        <v>0</v>
      </c>
      <c r="DH198" s="399">
        <v>0</v>
      </c>
      <c r="DI198" s="399">
        <v>-1.1105837057359924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-0.14835584692478343</v>
      </c>
      <c r="DP198" s="399">
        <v>-3.2909834464722898E-2</v>
      </c>
      <c r="DQ198" s="399">
        <v>0</v>
      </c>
      <c r="DR198" s="399">
        <v>0</v>
      </c>
      <c r="DS198" s="399"/>
      <c r="DT198" s="399"/>
      <c r="DU198" s="399"/>
      <c r="DV198" s="399">
        <v>192.23353827461852</v>
      </c>
      <c r="DW198" s="399">
        <v>0</v>
      </c>
      <c r="DX198" s="399">
        <v>0</v>
      </c>
      <c r="DY198" s="399">
        <v>-35.668000000000035</v>
      </c>
      <c r="DZ198" s="399">
        <v>0</v>
      </c>
      <c r="EA198" s="399">
        <v>0</v>
      </c>
      <c r="EB198" s="399">
        <v>0</v>
      </c>
      <c r="EC198" s="399">
        <v>-34.158740169732511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229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197</v>
      </c>
      <c r="B199" s="399" t="s">
        <v>954</v>
      </c>
      <c r="C199" s="399" t="s">
        <v>2336</v>
      </c>
      <c r="D199" s="399" t="s">
        <v>1822</v>
      </c>
      <c r="E199" s="399" t="s">
        <v>916</v>
      </c>
      <c r="F199" s="399" t="s">
        <v>1237</v>
      </c>
      <c r="G199" s="399" t="s">
        <v>1237</v>
      </c>
      <c r="H199" s="399" t="s">
        <v>1237</v>
      </c>
      <c r="I199" s="399" t="s">
        <v>1237</v>
      </c>
      <c r="J199" s="399" t="s">
        <v>2337</v>
      </c>
      <c r="K199" s="788">
        <v>44621</v>
      </c>
      <c r="L199" s="399">
        <v>0</v>
      </c>
      <c r="M199" s="399">
        <v>0</v>
      </c>
      <c r="N199" s="399">
        <v>94.872</v>
      </c>
      <c r="O199" s="399">
        <v>94.872</v>
      </c>
      <c r="P199" s="399">
        <v>94.872</v>
      </c>
      <c r="Q199" s="399">
        <v>94.872</v>
      </c>
      <c r="R199" s="399"/>
      <c r="S199" s="399">
        <v>707.13</v>
      </c>
      <c r="T199" s="399">
        <v>119.97</v>
      </c>
      <c r="U199" s="399"/>
      <c r="V199" s="399">
        <v>78468.631200000003</v>
      </c>
      <c r="W199" s="399">
        <v>78468.631200000003</v>
      </c>
      <c r="X199" s="399">
        <v>69164.534159999996</v>
      </c>
      <c r="Y199" s="399">
        <v>0</v>
      </c>
      <c r="Z199" s="399">
        <v>5777.2190153355996</v>
      </c>
      <c r="AA199" s="399">
        <v>0</v>
      </c>
      <c r="AB199" s="399">
        <v>0</v>
      </c>
      <c r="AC199" s="399">
        <v>0</v>
      </c>
      <c r="AD199" s="399">
        <v>10202.460007216547</v>
      </c>
      <c r="AE199" s="399">
        <v>48324.281665634786</v>
      </c>
      <c r="AF199" s="399">
        <v>11382.158392635843</v>
      </c>
      <c r="AG199" s="399">
        <v>0</v>
      </c>
      <c r="AH199" s="399">
        <v>0</v>
      </c>
      <c r="AI199" s="399">
        <v>0</v>
      </c>
      <c r="AJ199" s="399">
        <v>0</v>
      </c>
      <c r="AK199" s="399">
        <v>0</v>
      </c>
      <c r="AL199" s="399">
        <v>892.7669524250349</v>
      </c>
      <c r="AM199" s="399"/>
      <c r="AN199" s="399">
        <v>204.0980151244963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1686.1044141821408</v>
      </c>
      <c r="BH199" s="399">
        <v>0</v>
      </c>
      <c r="BI199" s="399">
        <v>0</v>
      </c>
      <c r="BJ199" s="399">
        <v>0</v>
      </c>
      <c r="BK199" s="399">
        <v>26003.439999999999</v>
      </c>
      <c r="BL199" s="399">
        <v>266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13068.262806817984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69163.076100000006</v>
      </c>
      <c r="CJ199" s="399">
        <v>-9305.585099999982</v>
      </c>
      <c r="CK199" s="399"/>
      <c r="CL199" s="399"/>
      <c r="CM199" s="399"/>
      <c r="CN199" s="399"/>
      <c r="CO199" s="399">
        <v>-9304.0970400000042</v>
      </c>
      <c r="CP199" s="399">
        <v>0</v>
      </c>
      <c r="CQ199" s="399">
        <v>31</v>
      </c>
      <c r="CR199" s="399">
        <v>-717.07329387975915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-54.584996283159853</v>
      </c>
      <c r="DA199" s="399">
        <v>0</v>
      </c>
      <c r="DB199" s="399">
        <v>0</v>
      </c>
      <c r="DC199" s="399">
        <v>0</v>
      </c>
      <c r="DD199" s="399">
        <v>0</v>
      </c>
      <c r="DE199" s="399">
        <v>0</v>
      </c>
      <c r="DF199" s="399">
        <v>0</v>
      </c>
      <c r="DG199" s="399">
        <v>0</v>
      </c>
      <c r="DH199" s="399">
        <v>0</v>
      </c>
      <c r="DI199" s="399">
        <v>-569.53133692208121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-76.080085997016567</v>
      </c>
      <c r="DP199" s="399">
        <v>-16.876874677498336</v>
      </c>
      <c r="DQ199" s="399">
        <v>0</v>
      </c>
      <c r="DR199" s="399">
        <v>0</v>
      </c>
      <c r="DS199" s="399"/>
      <c r="DT199" s="399"/>
      <c r="DU199" s="399"/>
      <c r="DV199" s="399">
        <v>48324.281665634786</v>
      </c>
      <c r="DW199" s="399">
        <v>0</v>
      </c>
      <c r="DX199" s="399">
        <v>0</v>
      </c>
      <c r="DY199" s="399">
        <v>-9304.0970400000078</v>
      </c>
      <c r="DZ199" s="399">
        <v>0</v>
      </c>
      <c r="EA199" s="399">
        <v>0</v>
      </c>
      <c r="EB199" s="399">
        <v>0</v>
      </c>
      <c r="EC199" s="399">
        <v>-8586.9333526350529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229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198</v>
      </c>
      <c r="B200" s="399" t="s">
        <v>2339</v>
      </c>
      <c r="C200" s="399" t="s">
        <v>2336</v>
      </c>
      <c r="D200" s="399" t="s">
        <v>1822</v>
      </c>
      <c r="E200" s="399" t="s">
        <v>916</v>
      </c>
      <c r="F200" s="399" t="s">
        <v>1237</v>
      </c>
      <c r="G200" s="399" t="s">
        <v>1237</v>
      </c>
      <c r="H200" s="399" t="s">
        <v>1237</v>
      </c>
      <c r="I200" s="399" t="s">
        <v>1237</v>
      </c>
      <c r="J200" s="399" t="s">
        <v>2337</v>
      </c>
      <c r="K200" s="788">
        <v>44621</v>
      </c>
      <c r="L200" s="399">
        <v>0</v>
      </c>
      <c r="M200" s="399">
        <v>0</v>
      </c>
      <c r="N200" s="399">
        <v>19.905000000000001</v>
      </c>
      <c r="O200" s="399">
        <v>19.905000000000001</v>
      </c>
      <c r="P200" s="399">
        <v>19.905000000000001</v>
      </c>
      <c r="Q200" s="399">
        <v>19.905000000000001</v>
      </c>
      <c r="R200" s="399"/>
      <c r="S200" s="399">
        <v>707.13</v>
      </c>
      <c r="T200" s="399">
        <v>119.97</v>
      </c>
      <c r="U200" s="399"/>
      <c r="V200" s="399">
        <v>16463.425500000001</v>
      </c>
      <c r="W200" s="399">
        <v>16463.425500000001</v>
      </c>
      <c r="X200" s="399">
        <v>14511.34215</v>
      </c>
      <c r="Y200" s="399">
        <v>0</v>
      </c>
      <c r="Z200" s="399">
        <v>1212.1125780025204</v>
      </c>
      <c r="AA200" s="399">
        <v>0</v>
      </c>
      <c r="AB200" s="399">
        <v>0</v>
      </c>
      <c r="AC200" s="399">
        <v>0</v>
      </c>
      <c r="AD200" s="399">
        <v>2140.567991015741</v>
      </c>
      <c r="AE200" s="399">
        <v>10138.869493153517</v>
      </c>
      <c r="AF200" s="399">
        <v>2388.0793364260949</v>
      </c>
      <c r="AG200" s="399">
        <v>0</v>
      </c>
      <c r="AH200" s="399">
        <v>0</v>
      </c>
      <c r="AI200" s="399">
        <v>0</v>
      </c>
      <c r="AJ200" s="399">
        <v>0</v>
      </c>
      <c r="AK200" s="399">
        <v>0</v>
      </c>
      <c r="AL200" s="399">
        <v>187.31054671578886</v>
      </c>
      <c r="AM200" s="399"/>
      <c r="AN200" s="399">
        <v>42.821601642772357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353.75989084551304</v>
      </c>
      <c r="BH200" s="399">
        <v>0</v>
      </c>
      <c r="BI200" s="399">
        <v>0</v>
      </c>
      <c r="BJ200" s="399">
        <v>0</v>
      </c>
      <c r="BK200" s="399">
        <v>8086.9</v>
      </c>
      <c r="BL200" s="399">
        <v>8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2741.8392272716078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14514.987299999999</v>
      </c>
      <c r="CJ200" s="399">
        <v>-1948.4682000000012</v>
      </c>
      <c r="CK200" s="399"/>
      <c r="CL200" s="399"/>
      <c r="CM200" s="399"/>
      <c r="CN200" s="399"/>
      <c r="CO200" s="399">
        <v>-1952.083350000001</v>
      </c>
      <c r="CP200" s="399">
        <v>0</v>
      </c>
      <c r="CQ200" s="399">
        <v>31</v>
      </c>
      <c r="CR200" s="399">
        <v>-150.44843488781407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-11.452423802769317</v>
      </c>
      <c r="DA200" s="399">
        <v>0</v>
      </c>
      <c r="DB200" s="399">
        <v>0</v>
      </c>
      <c r="DC200" s="399">
        <v>0</v>
      </c>
      <c r="DD200" s="399">
        <v>0</v>
      </c>
      <c r="DE200" s="399">
        <v>0</v>
      </c>
      <c r="DF200" s="399">
        <v>0</v>
      </c>
      <c r="DG200" s="399">
        <v>0</v>
      </c>
      <c r="DH200" s="399">
        <v>0</v>
      </c>
      <c r="DI200" s="399">
        <v>-119.49280358202668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-15.962287205609812</v>
      </c>
      <c r="DP200" s="399">
        <v>-3.5409202974070766</v>
      </c>
      <c r="DQ200" s="399">
        <v>0</v>
      </c>
      <c r="DR200" s="399">
        <v>0</v>
      </c>
      <c r="DS200" s="399"/>
      <c r="DT200" s="399"/>
      <c r="DU200" s="399"/>
      <c r="DV200" s="399">
        <v>10138.869493153517</v>
      </c>
      <c r="DW200" s="399">
        <v>0</v>
      </c>
      <c r="DX200" s="399">
        <v>0</v>
      </c>
      <c r="DY200" s="399">
        <v>-1952.0833500000008</v>
      </c>
      <c r="DZ200" s="399">
        <v>0</v>
      </c>
      <c r="EA200" s="399">
        <v>0</v>
      </c>
      <c r="EB200" s="399">
        <v>0</v>
      </c>
      <c r="EC200" s="399">
        <v>-1801.615949744928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0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229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199</v>
      </c>
      <c r="B201" s="399" t="s">
        <v>954</v>
      </c>
      <c r="C201" s="399" t="s">
        <v>2336</v>
      </c>
      <c r="D201" s="399" t="s">
        <v>2347</v>
      </c>
      <c r="E201" s="399" t="s">
        <v>892</v>
      </c>
      <c r="F201" s="399" t="s">
        <v>1237</v>
      </c>
      <c r="G201" s="399" t="s">
        <v>1237</v>
      </c>
      <c r="H201" s="399" t="s">
        <v>1237</v>
      </c>
      <c r="I201" s="399" t="s">
        <v>1237</v>
      </c>
      <c r="J201" s="399" t="s">
        <v>2337</v>
      </c>
      <c r="K201" s="788">
        <v>44621</v>
      </c>
      <c r="L201" s="399">
        <v>0</v>
      </c>
      <c r="M201" s="399">
        <v>0</v>
      </c>
      <c r="N201" s="399">
        <v>280.87599999999998</v>
      </c>
      <c r="O201" s="399">
        <v>280.87599999999998</v>
      </c>
      <c r="P201" s="399">
        <v>280.87599999999998</v>
      </c>
      <c r="Q201" s="399">
        <v>280.87599999999998</v>
      </c>
      <c r="R201" s="399"/>
      <c r="S201" s="399">
        <v>707.13</v>
      </c>
      <c r="T201" s="399">
        <v>119.97</v>
      </c>
      <c r="U201" s="399"/>
      <c r="V201" s="399">
        <v>232312.53959999996</v>
      </c>
      <c r="W201" s="399">
        <v>232312.53959999996</v>
      </c>
      <c r="X201" s="399">
        <v>204767.03027999995</v>
      </c>
      <c r="Y201" s="399">
        <v>0</v>
      </c>
      <c r="Z201" s="399">
        <v>17103.910196384622</v>
      </c>
      <c r="AA201" s="399">
        <v>0</v>
      </c>
      <c r="AB201" s="399">
        <v>0</v>
      </c>
      <c r="AC201" s="399">
        <v>0</v>
      </c>
      <c r="AD201" s="399">
        <v>30205.183373249794</v>
      </c>
      <c r="AE201" s="399">
        <v>143067.82756890162</v>
      </c>
      <c r="AF201" s="399">
        <v>33697.773006682532</v>
      </c>
      <c r="AG201" s="399">
        <v>0</v>
      </c>
      <c r="AH201" s="399">
        <v>0</v>
      </c>
      <c r="AI201" s="399">
        <v>0</v>
      </c>
      <c r="AJ201" s="399">
        <v>0</v>
      </c>
      <c r="AK201" s="399">
        <v>0</v>
      </c>
      <c r="AL201" s="399">
        <v>2643.1066123759811</v>
      </c>
      <c r="AM201" s="399"/>
      <c r="AN201" s="399">
        <v>604.24818804397523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4991.8444160323688</v>
      </c>
      <c r="BH201" s="399">
        <v>0</v>
      </c>
      <c r="BI201" s="399">
        <v>0</v>
      </c>
      <c r="BJ201" s="399">
        <v>0</v>
      </c>
      <c r="BK201" s="399">
        <v>45996.43</v>
      </c>
      <c r="BL201" s="399">
        <v>704</v>
      </c>
      <c r="BM201" s="399"/>
      <c r="BN201" s="399"/>
      <c r="BO201" s="399"/>
      <c r="BP201" s="399"/>
      <c r="BQ201" s="399"/>
      <c r="BR201" s="399">
        <v>24571.032479999973</v>
      </c>
      <c r="BS201" s="399"/>
      <c r="BT201" s="399"/>
      <c r="BU201" s="399"/>
      <c r="BV201" s="399">
        <v>38689.617422714902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180198.56399999998</v>
      </c>
      <c r="CJ201" s="399">
        <v>-24239.871360000019</v>
      </c>
      <c r="CK201" s="399"/>
      <c r="CL201" s="399"/>
      <c r="CM201" s="399"/>
      <c r="CN201" s="399"/>
      <c r="CO201" s="399">
        <v>-27545.509320000012</v>
      </c>
      <c r="CP201" s="399">
        <v>0</v>
      </c>
      <c r="CQ201" s="399">
        <v>31</v>
      </c>
      <c r="CR201" s="399">
        <v>-2122.9517506932461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-161.60316443238116</v>
      </c>
      <c r="DA201" s="399">
        <v>0</v>
      </c>
      <c r="DB201" s="399">
        <v>0</v>
      </c>
      <c r="DC201" s="399">
        <v>0</v>
      </c>
      <c r="DD201" s="399">
        <v>0</v>
      </c>
      <c r="DE201" s="399">
        <v>0</v>
      </c>
      <c r="DF201" s="399">
        <v>0</v>
      </c>
      <c r="DG201" s="399">
        <v>0</v>
      </c>
      <c r="DH201" s="399">
        <v>0</v>
      </c>
      <c r="DI201" s="399">
        <v>-1686.1422104448793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-225.24106411267803</v>
      </c>
      <c r="DP201" s="399">
        <v>-49.965311703316274</v>
      </c>
      <c r="DQ201" s="399">
        <v>0</v>
      </c>
      <c r="DR201" s="399">
        <v>0</v>
      </c>
      <c r="DS201" s="399"/>
      <c r="DT201" s="399"/>
      <c r="DU201" s="399"/>
      <c r="DV201" s="399">
        <v>143067.82756890162</v>
      </c>
      <c r="DW201" s="399">
        <v>0</v>
      </c>
      <c r="DX201" s="399">
        <v>0</v>
      </c>
      <c r="DY201" s="399">
        <v>-27545.509320000012</v>
      </c>
      <c r="DZ201" s="399">
        <v>0</v>
      </c>
      <c r="EA201" s="399">
        <v>0</v>
      </c>
      <c r="EB201" s="399">
        <v>0</v>
      </c>
      <c r="EC201" s="399">
        <v>-25422.289952301231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229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200</v>
      </c>
      <c r="B202" s="399" t="s">
        <v>2338</v>
      </c>
      <c r="C202" s="399" t="s">
        <v>2336</v>
      </c>
      <c r="D202" s="399" t="s">
        <v>2347</v>
      </c>
      <c r="E202" s="399" t="s">
        <v>892</v>
      </c>
      <c r="F202" s="399" t="s">
        <v>1237</v>
      </c>
      <c r="G202" s="399" t="s">
        <v>1237</v>
      </c>
      <c r="H202" s="399" t="s">
        <v>1237</v>
      </c>
      <c r="I202" s="399" t="s">
        <v>1237</v>
      </c>
      <c r="J202" s="399" t="s">
        <v>2337</v>
      </c>
      <c r="K202" s="788">
        <v>44621</v>
      </c>
      <c r="L202" s="399">
        <v>0</v>
      </c>
      <c r="M202" s="399">
        <v>0</v>
      </c>
      <c r="N202" s="399">
        <v>-2.2639999999999998</v>
      </c>
      <c r="O202" s="399">
        <v>-2.2639999999999998</v>
      </c>
      <c r="P202" s="399">
        <v>-2.2639999999999998</v>
      </c>
      <c r="Q202" s="399">
        <v>-2.2639999999999998</v>
      </c>
      <c r="R202" s="399"/>
      <c r="S202" s="399">
        <v>707.13</v>
      </c>
      <c r="T202" s="399">
        <v>119.97</v>
      </c>
      <c r="U202" s="399"/>
      <c r="V202" s="399">
        <v>-1872.5544</v>
      </c>
      <c r="W202" s="399">
        <v>-1872.5544</v>
      </c>
      <c r="X202" s="399">
        <v>-1650.5239199999996</v>
      </c>
      <c r="Y202" s="399">
        <v>0</v>
      </c>
      <c r="Z202" s="399">
        <v>-137.86600736486844</v>
      </c>
      <c r="AA202" s="399">
        <v>0</v>
      </c>
      <c r="AB202" s="399">
        <v>0</v>
      </c>
      <c r="AC202" s="399">
        <v>0</v>
      </c>
      <c r="AD202" s="399">
        <v>-243.46877325594758</v>
      </c>
      <c r="AE202" s="399">
        <v>-1153.1977157749088</v>
      </c>
      <c r="AF202" s="399">
        <v>-271.62077958646961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-21.30475145765114</v>
      </c>
      <c r="AM202" s="399"/>
      <c r="AN202" s="399">
        <v>-4.8705403727323082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-40.23674417856023</v>
      </c>
      <c r="BH202" s="399">
        <v>0</v>
      </c>
      <c r="BI202" s="399">
        <v>0</v>
      </c>
      <c r="BJ202" s="399">
        <v>0</v>
      </c>
      <c r="BK202" s="399">
        <v>-502.57</v>
      </c>
      <c r="BL202" s="399">
        <v>0</v>
      </c>
      <c r="BM202" s="399"/>
      <c r="BN202" s="399"/>
      <c r="BO202" s="399"/>
      <c r="BP202" s="399"/>
      <c r="BQ202" s="399"/>
      <c r="BR202" s="399">
        <v>-198.0547199999998</v>
      </c>
      <c r="BS202" s="399"/>
      <c r="BT202" s="399"/>
      <c r="BU202" s="399"/>
      <c r="BV202" s="399">
        <v>-311.85752376502984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-1449.9029999999998</v>
      </c>
      <c r="CJ202" s="399">
        <v>197.94204000000013</v>
      </c>
      <c r="CK202" s="399"/>
      <c r="CL202" s="399"/>
      <c r="CM202" s="399"/>
      <c r="CN202" s="399"/>
      <c r="CO202" s="399">
        <v>222.0304800000001</v>
      </c>
      <c r="CP202" s="399">
        <v>0</v>
      </c>
      <c r="CQ202" s="399">
        <v>31</v>
      </c>
      <c r="CR202" s="399">
        <v>17.112045043255875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1.3026017327038062</v>
      </c>
      <c r="DA202" s="399">
        <v>0</v>
      </c>
      <c r="DB202" s="399">
        <v>0</v>
      </c>
      <c r="DC202" s="399">
        <v>0</v>
      </c>
      <c r="DD202" s="399">
        <v>0</v>
      </c>
      <c r="DE202" s="399">
        <v>0</v>
      </c>
      <c r="DF202" s="399">
        <v>0</v>
      </c>
      <c r="DG202" s="399">
        <v>0</v>
      </c>
      <c r="DH202" s="399">
        <v>0</v>
      </c>
      <c r="DI202" s="399">
        <v>13.591143296142107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1.8155547969605941</v>
      </c>
      <c r="DP202" s="399">
        <v>0.40274521744936553</v>
      </c>
      <c r="DQ202" s="399">
        <v>0</v>
      </c>
      <c r="DR202" s="399">
        <v>0</v>
      </c>
      <c r="DS202" s="399"/>
      <c r="DT202" s="399"/>
      <c r="DU202" s="399"/>
      <c r="DV202" s="399">
        <v>-1153.1977157749088</v>
      </c>
      <c r="DW202" s="399">
        <v>0</v>
      </c>
      <c r="DX202" s="399">
        <v>0</v>
      </c>
      <c r="DY202" s="399">
        <v>222.03048000000013</v>
      </c>
      <c r="DZ202" s="399">
        <v>0</v>
      </c>
      <c r="EA202" s="399">
        <v>0</v>
      </c>
      <c r="EB202" s="399">
        <v>0</v>
      </c>
      <c r="EC202" s="399">
        <v>204.9162778308222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229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201</v>
      </c>
      <c r="B203" s="399" t="s">
        <v>2339</v>
      </c>
      <c r="C203" s="399" t="s">
        <v>2336</v>
      </c>
      <c r="D203" s="399" t="s">
        <v>2347</v>
      </c>
      <c r="E203" s="399" t="s">
        <v>892</v>
      </c>
      <c r="F203" s="399" t="s">
        <v>1237</v>
      </c>
      <c r="G203" s="399" t="s">
        <v>1237</v>
      </c>
      <c r="H203" s="399" t="s">
        <v>1237</v>
      </c>
      <c r="I203" s="399" t="s">
        <v>1237</v>
      </c>
      <c r="J203" s="399" t="s">
        <v>2337</v>
      </c>
      <c r="K203" s="788">
        <v>44621</v>
      </c>
      <c r="L203" s="399">
        <v>0</v>
      </c>
      <c r="M203" s="399">
        <v>0</v>
      </c>
      <c r="N203" s="399">
        <v>28.015000000000001</v>
      </c>
      <c r="O203" s="399">
        <v>28.015000000000001</v>
      </c>
      <c r="P203" s="399">
        <v>28.015000000000001</v>
      </c>
      <c r="Q203" s="399">
        <v>28.015000000000001</v>
      </c>
      <c r="R203" s="399"/>
      <c r="S203" s="399">
        <v>707.13</v>
      </c>
      <c r="T203" s="399">
        <v>119.97</v>
      </c>
      <c r="U203" s="399"/>
      <c r="V203" s="399">
        <v>23171.2065</v>
      </c>
      <c r="W203" s="399">
        <v>23171.2065</v>
      </c>
      <c r="X203" s="399">
        <v>20423.775449999997</v>
      </c>
      <c r="Y203" s="399">
        <v>0</v>
      </c>
      <c r="Z203" s="399">
        <v>1705.9700513810908</v>
      </c>
      <c r="AA203" s="399">
        <v>0</v>
      </c>
      <c r="AB203" s="399">
        <v>0</v>
      </c>
      <c r="AC203" s="399">
        <v>0</v>
      </c>
      <c r="AD203" s="399">
        <v>3012.7109906207475</v>
      </c>
      <c r="AE203" s="399">
        <v>14269.80300681717</v>
      </c>
      <c r="AF203" s="399">
        <v>3361.0671996974152</v>
      </c>
      <c r="AG203" s="399">
        <v>0</v>
      </c>
      <c r="AH203" s="399">
        <v>0</v>
      </c>
      <c r="AI203" s="399">
        <v>0</v>
      </c>
      <c r="AJ203" s="399">
        <v>0</v>
      </c>
      <c r="AK203" s="399">
        <v>0</v>
      </c>
      <c r="AL203" s="399">
        <v>263.62747883661513</v>
      </c>
      <c r="AM203" s="399"/>
      <c r="AN203" s="399">
        <v>60.268634515059908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497.89416438267006</v>
      </c>
      <c r="BH203" s="399">
        <v>0</v>
      </c>
      <c r="BI203" s="399">
        <v>0</v>
      </c>
      <c r="BJ203" s="399">
        <v>0</v>
      </c>
      <c r="BK203" s="399">
        <v>8497.75</v>
      </c>
      <c r="BL203" s="399">
        <v>13</v>
      </c>
      <c r="BM203" s="399"/>
      <c r="BN203" s="399"/>
      <c r="BO203" s="399"/>
      <c r="BP203" s="399"/>
      <c r="BQ203" s="399"/>
      <c r="BR203" s="399">
        <v>2450.7521999999976</v>
      </c>
      <c r="BS203" s="399"/>
      <c r="BT203" s="399"/>
      <c r="BU203" s="399"/>
      <c r="BV203" s="399">
        <v>3858.9613640800853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17976.231</v>
      </c>
      <c r="CJ203" s="399">
        <v>-2414.7968999999975</v>
      </c>
      <c r="CK203" s="399"/>
      <c r="CL203" s="399"/>
      <c r="CM203" s="399"/>
      <c r="CN203" s="399"/>
      <c r="CO203" s="399">
        <v>-2747.4310500000015</v>
      </c>
      <c r="CP203" s="399">
        <v>0</v>
      </c>
      <c r="CQ203" s="399">
        <v>31</v>
      </c>
      <c r="CR203" s="399">
        <v>-211.74644076272671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-16.11854573396522</v>
      </c>
      <c r="DA203" s="399">
        <v>0</v>
      </c>
      <c r="DB203" s="399">
        <v>0</v>
      </c>
      <c r="DC203" s="399">
        <v>0</v>
      </c>
      <c r="DD203" s="399">
        <v>0</v>
      </c>
      <c r="DE203" s="399">
        <v>0</v>
      </c>
      <c r="DF203" s="399">
        <v>0</v>
      </c>
      <c r="DG203" s="399">
        <v>0</v>
      </c>
      <c r="DH203" s="399">
        <v>0</v>
      </c>
      <c r="DI203" s="399">
        <v>-168.17839197942635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-22.46588676539352</v>
      </c>
      <c r="DP203" s="399">
        <v>-4.9836162839416858</v>
      </c>
      <c r="DQ203" s="399">
        <v>0</v>
      </c>
      <c r="DR203" s="399">
        <v>0</v>
      </c>
      <c r="DS203" s="399"/>
      <c r="DT203" s="399"/>
      <c r="DU203" s="399"/>
      <c r="DV203" s="399">
        <v>14269.80300681717</v>
      </c>
      <c r="DW203" s="399">
        <v>0</v>
      </c>
      <c r="DX203" s="399">
        <v>0</v>
      </c>
      <c r="DY203" s="399">
        <v>-2747.4310500000029</v>
      </c>
      <c r="DZ203" s="399">
        <v>0</v>
      </c>
      <c r="EA203" s="399">
        <v>0</v>
      </c>
      <c r="EB203" s="399">
        <v>0</v>
      </c>
      <c r="EC203" s="399">
        <v>-2535.657916709577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0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229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202</v>
      </c>
      <c r="B204" s="399" t="s">
        <v>2339</v>
      </c>
      <c r="C204" s="399" t="s">
        <v>2344</v>
      </c>
      <c r="D204" s="399" t="s">
        <v>533</v>
      </c>
      <c r="E204" s="399" t="s">
        <v>892</v>
      </c>
      <c r="F204" s="399" t="s">
        <v>1237</v>
      </c>
      <c r="G204" s="399" t="s">
        <v>1237</v>
      </c>
      <c r="H204" s="399" t="s">
        <v>1237</v>
      </c>
      <c r="I204" s="399" t="s">
        <v>891</v>
      </c>
      <c r="J204" s="399" t="s">
        <v>2337</v>
      </c>
      <c r="K204" s="788">
        <v>44621</v>
      </c>
      <c r="L204" s="399">
        <v>0</v>
      </c>
      <c r="M204" s="399">
        <v>0</v>
      </c>
      <c r="N204" s="399">
        <v>0.246</v>
      </c>
      <c r="O204" s="399">
        <v>0.23615999999999998</v>
      </c>
      <c r="P204" s="399">
        <v>0.246</v>
      </c>
      <c r="Q204" s="399">
        <v>0.23615999999999998</v>
      </c>
      <c r="R204" s="399"/>
      <c r="S204" s="399">
        <v>3312.96</v>
      </c>
      <c r="T204" s="399">
        <v>119.97</v>
      </c>
      <c r="U204" s="399"/>
      <c r="V204" s="399">
        <v>844.50077999999996</v>
      </c>
      <c r="W204" s="399">
        <v>844.50077999999996</v>
      </c>
      <c r="X204" s="399">
        <v>733.03326000000004</v>
      </c>
      <c r="Y204" s="399">
        <v>0</v>
      </c>
      <c r="Z204" s="399">
        <v>13.032722127309684</v>
      </c>
      <c r="AA204" s="399">
        <v>0</v>
      </c>
      <c r="AB204" s="399">
        <v>0</v>
      </c>
      <c r="AC204" s="399">
        <v>0</v>
      </c>
      <c r="AD204" s="399">
        <v>183.91919510467062</v>
      </c>
      <c r="AE204" s="399">
        <v>613.32493947102375</v>
      </c>
      <c r="AF204" s="399">
        <v>29.513565273088133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2.3149155735787015</v>
      </c>
      <c r="AM204" s="399"/>
      <c r="AN204" s="399">
        <v>0.20682007016801879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2.190346461608276</v>
      </c>
      <c r="BH204" s="399">
        <v>0</v>
      </c>
      <c r="BI204" s="399">
        <v>0</v>
      </c>
      <c r="BJ204" s="399">
        <v>0</v>
      </c>
      <c r="BK204" s="399">
        <v>0</v>
      </c>
      <c r="BL204" s="399">
        <v>0</v>
      </c>
      <c r="BM204" s="399"/>
      <c r="BN204" s="399"/>
      <c r="BO204" s="399"/>
      <c r="BP204" s="399"/>
      <c r="BQ204" s="399"/>
      <c r="BR204" s="399">
        <v>29.321330400000047</v>
      </c>
      <c r="BS204" s="399"/>
      <c r="BT204" s="399"/>
      <c r="BU204" s="399"/>
      <c r="BV204" s="399">
        <v>31.703911734696408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715.1543999999999</v>
      </c>
      <c r="CJ204" s="399">
        <v>-95.596348799999987</v>
      </c>
      <c r="CK204" s="399"/>
      <c r="CL204" s="399"/>
      <c r="CM204" s="399"/>
      <c r="CN204" s="399"/>
      <c r="CO204" s="399">
        <v>-111.46751999999996</v>
      </c>
      <c r="CP204" s="399">
        <v>0</v>
      </c>
      <c r="CQ204" s="399">
        <v>31</v>
      </c>
      <c r="CR204" s="399">
        <v>-2.4831711880974012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-0.98400077766504523</v>
      </c>
      <c r="DA204" s="399">
        <v>0</v>
      </c>
      <c r="DB204" s="399">
        <v>0</v>
      </c>
      <c r="DC204" s="399">
        <v>0</v>
      </c>
      <c r="DD204" s="399">
        <v>0</v>
      </c>
      <c r="DE204" s="399">
        <v>0</v>
      </c>
      <c r="DF204" s="399">
        <v>0</v>
      </c>
      <c r="DG204" s="399">
        <v>0</v>
      </c>
      <c r="DH204" s="399">
        <v>0</v>
      </c>
      <c r="DI204" s="399">
        <v>-1.2847952686573798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-0.19727318023511708</v>
      </c>
      <c r="DP204" s="399">
        <v>-1.7101961539840921E-2</v>
      </c>
      <c r="DQ204" s="399">
        <v>0</v>
      </c>
      <c r="DR204" s="399">
        <v>0</v>
      </c>
      <c r="DS204" s="399"/>
      <c r="DT204" s="399"/>
      <c r="DU204" s="399"/>
      <c r="DV204" s="399">
        <v>613.32493947102375</v>
      </c>
      <c r="DW204" s="399">
        <v>0</v>
      </c>
      <c r="DX204" s="399">
        <v>0</v>
      </c>
      <c r="DY204" s="399">
        <v>-111.46751999999992</v>
      </c>
      <c r="DZ204" s="399">
        <v>0</v>
      </c>
      <c r="EA204" s="399">
        <v>0</v>
      </c>
      <c r="EB204" s="399">
        <v>0</v>
      </c>
      <c r="EC204" s="399">
        <v>-108.98414207555288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229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203</v>
      </c>
      <c r="B205" s="399" t="s">
        <v>2339</v>
      </c>
      <c r="C205" s="399" t="s">
        <v>2344</v>
      </c>
      <c r="D205" s="399" t="s">
        <v>533</v>
      </c>
      <c r="E205" s="399" t="s">
        <v>892</v>
      </c>
      <c r="F205" s="399" t="s">
        <v>1237</v>
      </c>
      <c r="G205" s="399" t="s">
        <v>1237</v>
      </c>
      <c r="H205" s="399" t="s">
        <v>1237</v>
      </c>
      <c r="I205" s="399" t="s">
        <v>2322</v>
      </c>
      <c r="J205" s="399" t="s">
        <v>2337</v>
      </c>
      <c r="K205" s="788">
        <v>44621</v>
      </c>
      <c r="L205" s="399">
        <v>0</v>
      </c>
      <c r="M205" s="399">
        <v>0</v>
      </c>
      <c r="N205" s="399">
        <v>1.331</v>
      </c>
      <c r="O205" s="399">
        <v>1.27776</v>
      </c>
      <c r="P205" s="399">
        <v>1.331</v>
      </c>
      <c r="Q205" s="399">
        <v>1.27776</v>
      </c>
      <c r="R205" s="399"/>
      <c r="S205" s="399">
        <v>72.13</v>
      </c>
      <c r="T205" s="399">
        <v>119.97</v>
      </c>
      <c r="U205" s="399"/>
      <c r="V205" s="399">
        <v>255.68509999999998</v>
      </c>
      <c r="W205" s="399">
        <v>255.68509999999998</v>
      </c>
      <c r="X205" s="399">
        <v>247.57931000000002</v>
      </c>
      <c r="Y205" s="399">
        <v>0</v>
      </c>
      <c r="Z205" s="399">
        <v>70.514443705078008</v>
      </c>
      <c r="AA205" s="399">
        <v>0</v>
      </c>
      <c r="AB205" s="399">
        <v>0</v>
      </c>
      <c r="AC205" s="399">
        <v>0</v>
      </c>
      <c r="AD205" s="399">
        <v>0</v>
      </c>
      <c r="AE205" s="399">
        <v>0</v>
      </c>
      <c r="AF205" s="399">
        <v>159.68518446536709</v>
      </c>
      <c r="AG205" s="399">
        <v>0</v>
      </c>
      <c r="AH205" s="399">
        <v>0</v>
      </c>
      <c r="AI205" s="399">
        <v>0</v>
      </c>
      <c r="AJ205" s="399">
        <v>0</v>
      </c>
      <c r="AK205" s="399">
        <v>0</v>
      </c>
      <c r="AL205" s="399">
        <v>12.525010684688015</v>
      </c>
      <c r="AM205" s="399"/>
      <c r="AN205" s="399">
        <v>1.1190142820879392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>
        <v>0</v>
      </c>
      <c r="BG205" s="399">
        <v>11.851020895937459</v>
      </c>
      <c r="BH205" s="399">
        <v>0</v>
      </c>
      <c r="BI205" s="399">
        <v>0</v>
      </c>
      <c r="BJ205" s="399">
        <v>0</v>
      </c>
      <c r="BK205" s="399">
        <v>0</v>
      </c>
      <c r="BL205" s="399">
        <v>0</v>
      </c>
      <c r="BM205" s="399"/>
      <c r="BN205" s="399"/>
      <c r="BO205" s="399"/>
      <c r="BP205" s="399"/>
      <c r="BQ205" s="399"/>
      <c r="BR205" s="399">
        <v>9.9031723999999919</v>
      </c>
      <c r="BS205" s="399"/>
      <c r="BT205" s="399"/>
      <c r="BU205" s="399"/>
      <c r="BV205" s="399">
        <v>171.53620536130455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238.09280000000001</v>
      </c>
      <c r="CJ205" s="399">
        <v>-7.3948959999999602</v>
      </c>
      <c r="CK205" s="399"/>
      <c r="CL205" s="399"/>
      <c r="CM205" s="399"/>
      <c r="CN205" s="399"/>
      <c r="CO205" s="399">
        <v>-8.1057899999999847</v>
      </c>
      <c r="CP205" s="399">
        <v>0</v>
      </c>
      <c r="CQ205" s="399">
        <v>31</v>
      </c>
      <c r="CR205" s="399">
        <v>-8.1113651068513946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0</v>
      </c>
      <c r="DA205" s="399">
        <v>0</v>
      </c>
      <c r="DB205" s="399">
        <v>0</v>
      </c>
      <c r="DC205" s="399">
        <v>0</v>
      </c>
      <c r="DD205" s="399">
        <v>0</v>
      </c>
      <c r="DE205" s="399">
        <v>0</v>
      </c>
      <c r="DF205" s="399">
        <v>0</v>
      </c>
      <c r="DG205" s="399">
        <v>0</v>
      </c>
      <c r="DH205" s="399">
        <v>0</v>
      </c>
      <c r="DI205" s="399">
        <v>-6.9514735877356628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-1.06736017436155</v>
      </c>
      <c r="DP205" s="399">
        <v>-9.2531344754180012E-2</v>
      </c>
      <c r="DQ205" s="399">
        <v>0</v>
      </c>
      <c r="DR205" s="399">
        <v>0</v>
      </c>
      <c r="DS205" s="399"/>
      <c r="DT205" s="399"/>
      <c r="DU205" s="399"/>
      <c r="DV205" s="399">
        <v>0</v>
      </c>
      <c r="DW205" s="399">
        <v>0</v>
      </c>
      <c r="DX205" s="399">
        <v>0</v>
      </c>
      <c r="DY205" s="399">
        <v>-8.1057899999999847</v>
      </c>
      <c r="DZ205" s="399">
        <v>0</v>
      </c>
      <c r="EA205" s="399">
        <v>0</v>
      </c>
      <c r="EB205" s="399">
        <v>0</v>
      </c>
      <c r="EC205" s="399">
        <v>0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0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229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204</v>
      </c>
      <c r="B206" s="399" t="s">
        <v>2339</v>
      </c>
      <c r="C206" s="399" t="s">
        <v>2344</v>
      </c>
      <c r="D206" s="399" t="s">
        <v>533</v>
      </c>
      <c r="E206" s="399" t="s">
        <v>892</v>
      </c>
      <c r="F206" s="399" t="s">
        <v>1237</v>
      </c>
      <c r="G206" s="399" t="s">
        <v>1237</v>
      </c>
      <c r="H206" s="399" t="s">
        <v>1237</v>
      </c>
      <c r="I206" s="399" t="s">
        <v>1237</v>
      </c>
      <c r="J206" s="399" t="s">
        <v>2337</v>
      </c>
      <c r="K206" s="788">
        <v>44621</v>
      </c>
      <c r="L206" s="399">
        <v>32</v>
      </c>
      <c r="M206" s="399">
        <v>30.72</v>
      </c>
      <c r="N206" s="399">
        <v>0</v>
      </c>
      <c r="O206" s="399">
        <v>0</v>
      </c>
      <c r="P206" s="399">
        <v>0</v>
      </c>
      <c r="Q206" s="399">
        <v>0</v>
      </c>
      <c r="R206" s="399">
        <v>46.29</v>
      </c>
      <c r="S206" s="399"/>
      <c r="T206" s="399"/>
      <c r="U206" s="399">
        <v>1481.28</v>
      </c>
      <c r="V206" s="399"/>
      <c r="W206" s="399">
        <v>1481.28</v>
      </c>
      <c r="X206" s="399">
        <v>1316.8</v>
      </c>
      <c r="Y206" s="399">
        <v>0</v>
      </c>
      <c r="Z206" s="399">
        <v>0</v>
      </c>
      <c r="AA206" s="399">
        <v>0</v>
      </c>
      <c r="AB206" s="399">
        <v>0</v>
      </c>
      <c r="AC206" s="399">
        <v>0</v>
      </c>
      <c r="AD206" s="399">
        <v>573.21639595250883</v>
      </c>
      <c r="AE206" s="399">
        <v>907.94970590017283</v>
      </c>
      <c r="AF206" s="399"/>
      <c r="AG206" s="399"/>
      <c r="AH206" s="399"/>
      <c r="AI206" s="399">
        <v>0</v>
      </c>
      <c r="AJ206" s="399">
        <v>0</v>
      </c>
      <c r="AK206" s="399">
        <v>0</v>
      </c>
      <c r="AL206" s="399">
        <v>0</v>
      </c>
      <c r="AM206" s="399"/>
      <c r="AN206" s="399">
        <v>0</v>
      </c>
      <c r="AO206" s="399">
        <v>0</v>
      </c>
      <c r="AP206" s="399">
        <v>0</v>
      </c>
      <c r="AQ206" s="399">
        <v>0</v>
      </c>
      <c r="AR206" s="399">
        <v>0</v>
      </c>
      <c r="AS206" s="399"/>
      <c r="AT206" s="399"/>
      <c r="AU206" s="399">
        <v>0</v>
      </c>
      <c r="AV206" s="399">
        <v>0</v>
      </c>
      <c r="AW206" s="399">
        <v>0</v>
      </c>
      <c r="AX206" s="399"/>
      <c r="AY206" s="399"/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/>
      <c r="BG206" s="399">
        <v>0</v>
      </c>
      <c r="BH206" s="399">
        <v>0</v>
      </c>
      <c r="BI206" s="399">
        <v>0</v>
      </c>
      <c r="BJ206" s="399">
        <v>0</v>
      </c>
      <c r="BK206" s="399">
        <v>962.58</v>
      </c>
      <c r="BL206" s="399">
        <v>1</v>
      </c>
      <c r="BM206" s="399"/>
      <c r="BN206" s="399"/>
      <c r="BO206" s="399"/>
      <c r="BP206" s="399"/>
      <c r="BQ206" s="399"/>
      <c r="BR206" s="399">
        <v>52.672000000000047</v>
      </c>
      <c r="BS206" s="399"/>
      <c r="BT206" s="399"/>
      <c r="BU206" s="399"/>
      <c r="BV206" s="399">
        <v>0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1264.1279999999999</v>
      </c>
      <c r="CJ206" s="399">
        <v>-157.93079999999986</v>
      </c>
      <c r="CK206" s="399"/>
      <c r="CL206" s="399"/>
      <c r="CM206" s="399"/>
      <c r="CN206" s="399"/>
      <c r="CO206" s="399">
        <v>-164.48000000000002</v>
      </c>
      <c r="CP206" s="399">
        <v>0</v>
      </c>
      <c r="CQ206" s="399">
        <v>31</v>
      </c>
      <c r="CR206" s="399">
        <v>-3.0668108299776122</v>
      </c>
      <c r="CS206" s="399">
        <v>0</v>
      </c>
      <c r="CT206" s="399">
        <v>0</v>
      </c>
      <c r="CU206" s="399">
        <v>0</v>
      </c>
      <c r="CV206" s="399">
        <v>0</v>
      </c>
      <c r="CW206" s="399"/>
      <c r="CX206" s="399"/>
      <c r="CY206" s="399"/>
      <c r="CZ206" s="399">
        <v>-3.0668108299776122</v>
      </c>
      <c r="DA206" s="399">
        <v>0</v>
      </c>
      <c r="DB206" s="399">
        <v>0</v>
      </c>
      <c r="DC206" s="399"/>
      <c r="DD206" s="399"/>
      <c r="DE206" s="399">
        <v>0</v>
      </c>
      <c r="DF206" s="399">
        <v>0</v>
      </c>
      <c r="DG206" s="399">
        <v>0</v>
      </c>
      <c r="DH206" s="399">
        <v>0</v>
      </c>
      <c r="DI206" s="399">
        <v>0</v>
      </c>
      <c r="DJ206" s="399"/>
      <c r="DK206" s="399">
        <v>0</v>
      </c>
      <c r="DL206" s="399">
        <v>0</v>
      </c>
      <c r="DM206" s="399"/>
      <c r="DN206" s="399">
        <v>0</v>
      </c>
      <c r="DO206" s="399">
        <v>0</v>
      </c>
      <c r="DP206" s="399">
        <v>0</v>
      </c>
      <c r="DQ206" s="399">
        <v>0</v>
      </c>
      <c r="DR206" s="399">
        <v>0</v>
      </c>
      <c r="DS206" s="399"/>
      <c r="DT206" s="399"/>
      <c r="DU206" s="399">
        <v>907.94970590017283</v>
      </c>
      <c r="DV206" s="399"/>
      <c r="DW206" s="399">
        <v>0</v>
      </c>
      <c r="DX206" s="399">
        <v>0</v>
      </c>
      <c r="DY206" s="399">
        <v>-164.48000000000002</v>
      </c>
      <c r="DZ206" s="399"/>
      <c r="EA206" s="399">
        <v>0</v>
      </c>
      <c r="EB206" s="399"/>
      <c r="EC206" s="399">
        <v>-161.33718584903045</v>
      </c>
      <c r="ED206" s="399"/>
      <c r="EE206" s="399">
        <v>0</v>
      </c>
      <c r="EF206" s="399">
        <v>0</v>
      </c>
      <c r="EG206" s="399"/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/>
      <c r="EN206" s="399"/>
      <c r="EO206" s="399">
        <v>0</v>
      </c>
      <c r="EP206" s="399">
        <v>0</v>
      </c>
      <c r="EQ206" s="399"/>
      <c r="ER206" s="399">
        <v>0</v>
      </c>
      <c r="ES206" s="399"/>
      <c r="ET206" s="399">
        <v>0</v>
      </c>
      <c r="EU206" s="399"/>
      <c r="EV206" s="399">
        <v>229</v>
      </c>
      <c r="EW206" s="399"/>
      <c r="EX206" s="399"/>
      <c r="EY206" s="399"/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205</v>
      </c>
      <c r="B207" s="399" t="s">
        <v>954</v>
      </c>
      <c r="C207" s="399" t="s">
        <v>2336</v>
      </c>
      <c r="D207" s="399" t="s">
        <v>1822</v>
      </c>
      <c r="E207" s="399" t="s">
        <v>2348</v>
      </c>
      <c r="F207" s="399" t="s">
        <v>1237</v>
      </c>
      <c r="G207" s="399" t="s">
        <v>1237</v>
      </c>
      <c r="H207" s="399" t="s">
        <v>1237</v>
      </c>
      <c r="I207" s="399" t="s">
        <v>1237</v>
      </c>
      <c r="J207" s="399" t="s">
        <v>2337</v>
      </c>
      <c r="K207" s="788">
        <v>44621</v>
      </c>
      <c r="L207" s="399">
        <v>0</v>
      </c>
      <c r="M207" s="399">
        <v>0</v>
      </c>
      <c r="N207" s="399">
        <v>41.313000000000002</v>
      </c>
      <c r="O207" s="399">
        <v>41.313000000000002</v>
      </c>
      <c r="P207" s="399">
        <v>41.313000000000002</v>
      </c>
      <c r="Q207" s="399">
        <v>41.313000000000002</v>
      </c>
      <c r="R207" s="399"/>
      <c r="S207" s="399">
        <v>707.13</v>
      </c>
      <c r="T207" s="399">
        <v>119.97</v>
      </c>
      <c r="U207" s="399"/>
      <c r="V207" s="399">
        <v>34169.982300000003</v>
      </c>
      <c r="W207" s="399">
        <v>34169.982300000003</v>
      </c>
      <c r="X207" s="399">
        <v>30118.416389999999</v>
      </c>
      <c r="Y207" s="399">
        <v>0</v>
      </c>
      <c r="Z207" s="399">
        <v>2515.7501600109586</v>
      </c>
      <c r="AA207" s="399">
        <v>0</v>
      </c>
      <c r="AB207" s="399">
        <v>0</v>
      </c>
      <c r="AC207" s="399">
        <v>0</v>
      </c>
      <c r="AD207" s="399">
        <v>4442.7674158670334</v>
      </c>
      <c r="AE207" s="399">
        <v>21043.311498148767</v>
      </c>
      <c r="AF207" s="399">
        <v>4956.4793582402035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388.76466297258906</v>
      </c>
      <c r="AM207" s="399"/>
      <c r="AN207" s="399">
        <v>88.876605308608603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734.23171919119216</v>
      </c>
      <c r="BH207" s="399">
        <v>0</v>
      </c>
      <c r="BI207" s="399">
        <v>0</v>
      </c>
      <c r="BJ207" s="399">
        <v>0</v>
      </c>
      <c r="BK207" s="399">
        <v>11124.65</v>
      </c>
      <c r="BL207" s="399">
        <v>83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5690.711077431396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30116.229299999999</v>
      </c>
      <c r="CJ207" s="399">
        <v>-4053.7830000000031</v>
      </c>
      <c r="CK207" s="399"/>
      <c r="CL207" s="399"/>
      <c r="CM207" s="399"/>
      <c r="CN207" s="399"/>
      <c r="CO207" s="399">
        <v>-4051.5659100000021</v>
      </c>
      <c r="CP207" s="399">
        <v>0</v>
      </c>
      <c r="CQ207" s="399">
        <v>31</v>
      </c>
      <c r="CR207" s="399">
        <v>-312.25703042050736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-23.769604851233453</v>
      </c>
      <c r="DA207" s="399">
        <v>0</v>
      </c>
      <c r="DB207" s="399">
        <v>0</v>
      </c>
      <c r="DC207" s="399">
        <v>0</v>
      </c>
      <c r="DD207" s="399">
        <v>0</v>
      </c>
      <c r="DE207" s="399">
        <v>0</v>
      </c>
      <c r="DF207" s="399">
        <v>0</v>
      </c>
      <c r="DG207" s="399">
        <v>0</v>
      </c>
      <c r="DH207" s="399">
        <v>0</v>
      </c>
      <c r="DI207" s="399">
        <v>-248.00834937876243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-33.129865427046354</v>
      </c>
      <c r="DP207" s="399">
        <v>-7.3492107634653792</v>
      </c>
      <c r="DQ207" s="399">
        <v>0</v>
      </c>
      <c r="DR207" s="399">
        <v>0</v>
      </c>
      <c r="DS207" s="399"/>
      <c r="DT207" s="399"/>
      <c r="DU207" s="399"/>
      <c r="DV207" s="399">
        <v>21043.311498148767</v>
      </c>
      <c r="DW207" s="399">
        <v>0</v>
      </c>
      <c r="DX207" s="399">
        <v>0</v>
      </c>
      <c r="DY207" s="399">
        <v>-4051.5659100000012</v>
      </c>
      <c r="DZ207" s="399">
        <v>0</v>
      </c>
      <c r="EA207" s="399">
        <v>0</v>
      </c>
      <c r="EB207" s="399">
        <v>0</v>
      </c>
      <c r="EC207" s="399">
        <v>-3739.2695167953862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229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206</v>
      </c>
      <c r="B208" s="399" t="s">
        <v>954</v>
      </c>
      <c r="C208" s="399" t="s">
        <v>2336</v>
      </c>
      <c r="D208" s="399" t="s">
        <v>2349</v>
      </c>
      <c r="E208" s="399" t="s">
        <v>2350</v>
      </c>
      <c r="F208" s="399" t="s">
        <v>2351</v>
      </c>
      <c r="G208" s="399" t="s">
        <v>1237</v>
      </c>
      <c r="H208" s="399" t="s">
        <v>1237</v>
      </c>
      <c r="I208" s="399" t="s">
        <v>1237</v>
      </c>
      <c r="J208" s="399" t="s">
        <v>2337</v>
      </c>
      <c r="K208" s="788">
        <v>44621</v>
      </c>
      <c r="L208" s="399">
        <v>0</v>
      </c>
      <c r="M208" s="399">
        <v>0</v>
      </c>
      <c r="N208" s="399">
        <v>84.697999999999993</v>
      </c>
      <c r="O208" s="399">
        <v>84.697999999999993</v>
      </c>
      <c r="P208" s="399">
        <v>84.697999999999993</v>
      </c>
      <c r="Q208" s="399">
        <v>84.697999999999993</v>
      </c>
      <c r="R208" s="399"/>
      <c r="S208" s="399">
        <v>388.92</v>
      </c>
      <c r="T208" s="399">
        <v>65.989999999999995</v>
      </c>
      <c r="U208" s="399"/>
      <c r="V208" s="399">
        <v>38529.967179999992</v>
      </c>
      <c r="W208" s="399">
        <v>38529.967179999992</v>
      </c>
      <c r="X208" s="399">
        <v>33961.357059999995</v>
      </c>
      <c r="Y208" s="399">
        <v>0</v>
      </c>
      <c r="Z208" s="399">
        <v>2836.7209807792856</v>
      </c>
      <c r="AA208" s="399">
        <v>0</v>
      </c>
      <c r="AB208" s="399">
        <v>0</v>
      </c>
      <c r="AC208" s="399">
        <v>0</v>
      </c>
      <c r="AD208" s="399">
        <v>5009.5958420838015</v>
      </c>
      <c r="AE208" s="399">
        <v>23728.112664260949</v>
      </c>
      <c r="AF208" s="399">
        <v>5588.8494850610123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438.36502271558072</v>
      </c>
      <c r="AM208" s="399"/>
      <c r="AN208" s="399">
        <v>100.21588589634499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827.90833354223957</v>
      </c>
      <c r="BH208" s="399">
        <v>0</v>
      </c>
      <c r="BI208" s="399">
        <v>0</v>
      </c>
      <c r="BJ208" s="399">
        <v>0</v>
      </c>
      <c r="BK208" s="399">
        <v>15329.48</v>
      </c>
      <c r="BL208" s="399">
        <v>2</v>
      </c>
      <c r="BM208" s="399"/>
      <c r="BN208" s="399"/>
      <c r="BO208" s="399"/>
      <c r="BP208" s="399"/>
      <c r="BQ208" s="399"/>
      <c r="BR208" s="399"/>
      <c r="BS208" s="399"/>
      <c r="BT208" s="399"/>
      <c r="BU208" s="399"/>
      <c r="BV208" s="399">
        <v>6416.7578186032515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33962.159000000007</v>
      </c>
      <c r="CJ208" s="399">
        <v>-4567.8381799999916</v>
      </c>
      <c r="CK208" s="399"/>
      <c r="CL208" s="399"/>
      <c r="CM208" s="399"/>
      <c r="CN208" s="399"/>
      <c r="CO208" s="399">
        <v>-4568.6101199999994</v>
      </c>
      <c r="CP208" s="399">
        <v>0</v>
      </c>
      <c r="CQ208" s="399">
        <v>31</v>
      </c>
      <c r="CR208" s="399">
        <v>-352.09619924494655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-26.802238894049879</v>
      </c>
      <c r="DA208" s="399">
        <v>0</v>
      </c>
      <c r="DB208" s="399">
        <v>0</v>
      </c>
      <c r="DC208" s="399">
        <v>0</v>
      </c>
      <c r="DD208" s="399">
        <v>0</v>
      </c>
      <c r="DE208" s="399">
        <v>0</v>
      </c>
      <c r="DF208" s="399">
        <v>0</v>
      </c>
      <c r="DG208" s="399">
        <v>0</v>
      </c>
      <c r="DH208" s="399">
        <v>0</v>
      </c>
      <c r="DI208" s="399">
        <v>-279.65037994397471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-37.35672398680714</v>
      </c>
      <c r="DP208" s="399">
        <v>-8.2868564201149866</v>
      </c>
      <c r="DQ208" s="399">
        <v>0</v>
      </c>
      <c r="DR208" s="399">
        <v>0</v>
      </c>
      <c r="DS208" s="399"/>
      <c r="DT208" s="399"/>
      <c r="DU208" s="399"/>
      <c r="DV208" s="399">
        <v>23728.112664260949</v>
      </c>
      <c r="DW208" s="399">
        <v>0</v>
      </c>
      <c r="DX208" s="399">
        <v>0</v>
      </c>
      <c r="DY208" s="399">
        <v>-4568.6101199999976</v>
      </c>
      <c r="DZ208" s="399">
        <v>0</v>
      </c>
      <c r="EA208" s="399">
        <v>0</v>
      </c>
      <c r="EB208" s="399">
        <v>0</v>
      </c>
      <c r="EC208" s="399">
        <v>-4216.3424888883237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229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207</v>
      </c>
      <c r="B209" s="399" t="s">
        <v>954</v>
      </c>
      <c r="C209" s="399" t="s">
        <v>2336</v>
      </c>
      <c r="D209" s="399" t="s">
        <v>1822</v>
      </c>
      <c r="E209" s="399" t="s">
        <v>919</v>
      </c>
      <c r="F209" s="399" t="s">
        <v>2352</v>
      </c>
      <c r="G209" s="399" t="s">
        <v>1237</v>
      </c>
      <c r="H209" s="399" t="s">
        <v>1237</v>
      </c>
      <c r="I209" s="399" t="s">
        <v>1237</v>
      </c>
      <c r="J209" s="399" t="s">
        <v>2337</v>
      </c>
      <c r="K209" s="788">
        <v>44621</v>
      </c>
      <c r="L209" s="399">
        <v>0</v>
      </c>
      <c r="M209" s="399">
        <v>0</v>
      </c>
      <c r="N209" s="399">
        <v>5.2949999999999999</v>
      </c>
      <c r="O209" s="399">
        <v>4.9772999999999996</v>
      </c>
      <c r="P209" s="399">
        <v>5.2949999999999999</v>
      </c>
      <c r="Q209" s="399">
        <v>4.9772999999999996</v>
      </c>
      <c r="R209" s="399"/>
      <c r="S209" s="399">
        <v>707.13</v>
      </c>
      <c r="T209" s="399">
        <v>119.97</v>
      </c>
      <c r="U209" s="399"/>
      <c r="V209" s="399">
        <v>4379.4944999999998</v>
      </c>
      <c r="W209" s="399">
        <v>4379.4944999999998</v>
      </c>
      <c r="X209" s="399">
        <v>3860.2138499999996</v>
      </c>
      <c r="Y209" s="399">
        <v>0</v>
      </c>
      <c r="Z209" s="399">
        <v>322.43838736615652</v>
      </c>
      <c r="AA209" s="399">
        <v>0</v>
      </c>
      <c r="AB209" s="399">
        <v>0</v>
      </c>
      <c r="AC209" s="399">
        <v>0</v>
      </c>
      <c r="AD209" s="399">
        <v>569.42012119710364</v>
      </c>
      <c r="AE209" s="399">
        <v>2697.0768131749746</v>
      </c>
      <c r="AF209" s="399">
        <v>635.26149642683606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49.827146187395222</v>
      </c>
      <c r="AM209" s="399"/>
      <c r="AN209" s="399">
        <v>11.391126887640272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94.104929516553199</v>
      </c>
      <c r="BH209" s="399">
        <v>0</v>
      </c>
      <c r="BI209" s="399">
        <v>0</v>
      </c>
      <c r="BJ209" s="399">
        <v>0</v>
      </c>
      <c r="BK209" s="399">
        <v>1460.11</v>
      </c>
      <c r="BL209" s="399">
        <v>7</v>
      </c>
      <c r="BM209" s="399"/>
      <c r="BN209" s="399"/>
      <c r="BO209" s="399"/>
      <c r="BP209" s="399"/>
      <c r="BQ209" s="399">
        <v>231.61283100000023</v>
      </c>
      <c r="BR209" s="399"/>
      <c r="BS209" s="399"/>
      <c r="BT209" s="399"/>
      <c r="BU209" s="399"/>
      <c r="BV209" s="399">
        <v>729.36642594338923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3630.5694000000003</v>
      </c>
      <c r="CJ209" s="399">
        <v>-486.18543000000045</v>
      </c>
      <c r="CK209" s="399"/>
      <c r="CL209" s="399"/>
      <c r="CM209" s="399"/>
      <c r="CN209" s="399"/>
      <c r="CO209" s="399">
        <v>-519.28065000000026</v>
      </c>
      <c r="CP209" s="399">
        <v>0</v>
      </c>
      <c r="CQ209" s="399">
        <v>31</v>
      </c>
      <c r="CR209" s="399">
        <v>-40.02132442757943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-3.0465000771496307</v>
      </c>
      <c r="DA209" s="399">
        <v>0</v>
      </c>
      <c r="DB209" s="399">
        <v>0</v>
      </c>
      <c r="DC209" s="399">
        <v>0</v>
      </c>
      <c r="DD209" s="399">
        <v>0</v>
      </c>
      <c r="DE209" s="399">
        <v>0</v>
      </c>
      <c r="DF209" s="399">
        <v>0</v>
      </c>
      <c r="DG209" s="399">
        <v>0</v>
      </c>
      <c r="DH209" s="399">
        <v>0</v>
      </c>
      <c r="DI209" s="399">
        <v>-31.78670660471397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-4.2461849160363698</v>
      </c>
      <c r="DP209" s="399">
        <v>-0.94193282967950154</v>
      </c>
      <c r="DQ209" s="399">
        <v>0</v>
      </c>
      <c r="DR209" s="399">
        <v>0</v>
      </c>
      <c r="DS209" s="399"/>
      <c r="DT209" s="399"/>
      <c r="DU209" s="399"/>
      <c r="DV209" s="399">
        <v>2697.0768131749746</v>
      </c>
      <c r="DW209" s="399">
        <v>0</v>
      </c>
      <c r="DX209" s="399">
        <v>0</v>
      </c>
      <c r="DY209" s="399">
        <v>-519.28065000000015</v>
      </c>
      <c r="DZ209" s="399">
        <v>0</v>
      </c>
      <c r="EA209" s="399">
        <v>0</v>
      </c>
      <c r="EB209" s="399">
        <v>0</v>
      </c>
      <c r="EC209" s="399">
        <v>-479.2542805274752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229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208</v>
      </c>
      <c r="B210" s="399" t="s">
        <v>954</v>
      </c>
      <c r="C210" s="399" t="s">
        <v>2344</v>
      </c>
      <c r="D210" s="399" t="s">
        <v>533</v>
      </c>
      <c r="E210" s="399" t="s">
        <v>919</v>
      </c>
      <c r="F210" s="399" t="s">
        <v>2352</v>
      </c>
      <c r="G210" s="399" t="s">
        <v>1237</v>
      </c>
      <c r="H210" s="399" t="s">
        <v>1237</v>
      </c>
      <c r="I210" s="399" t="s">
        <v>891</v>
      </c>
      <c r="J210" s="399" t="s">
        <v>2337</v>
      </c>
      <c r="K210" s="788">
        <v>44621</v>
      </c>
      <c r="L210" s="399">
        <v>0</v>
      </c>
      <c r="M210" s="399">
        <v>0</v>
      </c>
      <c r="N210" s="399">
        <v>3.51</v>
      </c>
      <c r="O210" s="399">
        <v>3.2993999999999999</v>
      </c>
      <c r="P210" s="399">
        <v>3.51</v>
      </c>
      <c r="Q210" s="399">
        <v>3.2993999999999999</v>
      </c>
      <c r="R210" s="399"/>
      <c r="S210" s="399">
        <v>3312.96</v>
      </c>
      <c r="T210" s="399">
        <v>119.97</v>
      </c>
      <c r="U210" s="399"/>
      <c r="V210" s="399">
        <v>12049.584299999999</v>
      </c>
      <c r="W210" s="399">
        <v>12049.584299999999</v>
      </c>
      <c r="X210" s="399">
        <v>10459.133099999999</v>
      </c>
      <c r="Y210" s="399">
        <v>0</v>
      </c>
      <c r="Z210" s="399">
        <v>185.95469376771135</v>
      </c>
      <c r="AA210" s="399">
        <v>0</v>
      </c>
      <c r="AB210" s="399">
        <v>0</v>
      </c>
      <c r="AC210" s="399">
        <v>0</v>
      </c>
      <c r="AD210" s="399">
        <v>2624.2129057617635</v>
      </c>
      <c r="AE210" s="399">
        <v>8751.0997461109473</v>
      </c>
      <c r="AF210" s="399">
        <v>421.10818743308675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33.029892940086349</v>
      </c>
      <c r="AM210" s="399"/>
      <c r="AN210" s="399">
        <v>2.9509692938607559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31.252504391240031</v>
      </c>
      <c r="BH210" s="399">
        <v>0</v>
      </c>
      <c r="BI210" s="399">
        <v>0</v>
      </c>
      <c r="BJ210" s="399">
        <v>0</v>
      </c>
      <c r="BK210" s="399">
        <v>0</v>
      </c>
      <c r="BL210" s="399">
        <v>0</v>
      </c>
      <c r="BM210" s="399"/>
      <c r="BN210" s="399"/>
      <c r="BO210" s="399"/>
      <c r="BP210" s="399"/>
      <c r="BQ210" s="399">
        <v>627.5479859999997</v>
      </c>
      <c r="BR210" s="399"/>
      <c r="BS210" s="399"/>
      <c r="BT210" s="399"/>
      <c r="BU210" s="399"/>
      <c r="BV210" s="399">
        <v>452.36069182432681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9833.3729999999996</v>
      </c>
      <c r="CJ210" s="399">
        <v>-1493.2662420000015</v>
      </c>
      <c r="CK210" s="399"/>
      <c r="CL210" s="399"/>
      <c r="CM210" s="399"/>
      <c r="CN210" s="399"/>
      <c r="CO210" s="399">
        <v>-1590.4511999999995</v>
      </c>
      <c r="CP210" s="399">
        <v>0</v>
      </c>
      <c r="CQ210" s="399">
        <v>31</v>
      </c>
      <c r="CR210" s="399">
        <v>-35.430613293584884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-14.040011095952195</v>
      </c>
      <c r="DA210" s="399">
        <v>0</v>
      </c>
      <c r="DB210" s="399">
        <v>0</v>
      </c>
      <c r="DC210" s="399">
        <v>0</v>
      </c>
      <c r="DD210" s="399">
        <v>0</v>
      </c>
      <c r="DE210" s="399">
        <v>0</v>
      </c>
      <c r="DF210" s="399">
        <v>0</v>
      </c>
      <c r="DG210" s="399">
        <v>0</v>
      </c>
      <c r="DH210" s="399">
        <v>0</v>
      </c>
      <c r="DI210" s="399">
        <v>-18.331834930843115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-2.8147514740864281</v>
      </c>
      <c r="DP210" s="399">
        <v>-0.24401579270260854</v>
      </c>
      <c r="DQ210" s="399">
        <v>0</v>
      </c>
      <c r="DR210" s="399">
        <v>0</v>
      </c>
      <c r="DS210" s="399"/>
      <c r="DT210" s="399"/>
      <c r="DU210" s="399"/>
      <c r="DV210" s="399">
        <v>8751.0997461109473</v>
      </c>
      <c r="DW210" s="399">
        <v>0</v>
      </c>
      <c r="DX210" s="399">
        <v>0</v>
      </c>
      <c r="DY210" s="399">
        <v>-1590.4511999999995</v>
      </c>
      <c r="DZ210" s="399">
        <v>0</v>
      </c>
      <c r="EA210" s="399">
        <v>0</v>
      </c>
      <c r="EB210" s="399">
        <v>0</v>
      </c>
      <c r="EC210" s="399">
        <v>-1555.0176369316678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229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209</v>
      </c>
      <c r="B211" s="399" t="s">
        <v>954</v>
      </c>
      <c r="C211" s="399" t="s">
        <v>2344</v>
      </c>
      <c r="D211" s="399" t="s">
        <v>533</v>
      </c>
      <c r="E211" s="399" t="s">
        <v>919</v>
      </c>
      <c r="F211" s="399" t="s">
        <v>2352</v>
      </c>
      <c r="G211" s="399" t="s">
        <v>1237</v>
      </c>
      <c r="H211" s="399" t="s">
        <v>1237</v>
      </c>
      <c r="I211" s="399" t="s">
        <v>2322</v>
      </c>
      <c r="J211" s="399" t="s">
        <v>2337</v>
      </c>
      <c r="K211" s="788">
        <v>44621</v>
      </c>
      <c r="L211" s="399">
        <v>0</v>
      </c>
      <c r="M211" s="399">
        <v>0</v>
      </c>
      <c r="N211" s="399">
        <v>33.279000000000003</v>
      </c>
      <c r="O211" s="399">
        <v>31.282260000000001</v>
      </c>
      <c r="P211" s="399">
        <v>33.279000000000003</v>
      </c>
      <c r="Q211" s="399">
        <v>31.282260000000001</v>
      </c>
      <c r="R211" s="399"/>
      <c r="S211" s="399">
        <v>72.13</v>
      </c>
      <c r="T211" s="399">
        <v>119.97</v>
      </c>
      <c r="U211" s="399"/>
      <c r="V211" s="399">
        <v>6392.8959000000004</v>
      </c>
      <c r="W211" s="399">
        <v>6392.8959000000004</v>
      </c>
      <c r="X211" s="399">
        <v>6190.2267900000006</v>
      </c>
      <c r="Y211" s="399">
        <v>0</v>
      </c>
      <c r="Z211" s="399">
        <v>1763.0730068078824</v>
      </c>
      <c r="AA211" s="399">
        <v>0</v>
      </c>
      <c r="AB211" s="399">
        <v>0</v>
      </c>
      <c r="AC211" s="399">
        <v>0</v>
      </c>
      <c r="AD211" s="399">
        <v>0</v>
      </c>
      <c r="AE211" s="399">
        <v>0</v>
      </c>
      <c r="AF211" s="399">
        <v>3992.6095070044721</v>
      </c>
      <c r="AG211" s="399">
        <v>0</v>
      </c>
      <c r="AH211" s="399">
        <v>0</v>
      </c>
      <c r="AI211" s="399">
        <v>0</v>
      </c>
      <c r="AJ211" s="399">
        <v>0</v>
      </c>
      <c r="AK211" s="399">
        <v>0</v>
      </c>
      <c r="AL211" s="399">
        <v>313.16290802083586</v>
      </c>
      <c r="AM211" s="399"/>
      <c r="AN211" s="399">
        <v>27.978719980168695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296.31113778805616</v>
      </c>
      <c r="BH211" s="399">
        <v>0</v>
      </c>
      <c r="BI211" s="399">
        <v>0</v>
      </c>
      <c r="BJ211" s="399">
        <v>0</v>
      </c>
      <c r="BK211" s="399">
        <v>0</v>
      </c>
      <c r="BL211" s="399">
        <v>0</v>
      </c>
      <c r="BM211" s="399"/>
      <c r="BN211" s="399"/>
      <c r="BO211" s="399"/>
      <c r="BP211" s="399"/>
      <c r="BQ211" s="399">
        <v>371.4136074000005</v>
      </c>
      <c r="BR211" s="399"/>
      <c r="BS211" s="399"/>
      <c r="BT211" s="399"/>
      <c r="BU211" s="399"/>
      <c r="BV211" s="399">
        <v>4288.920644792528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5818.3927999999996</v>
      </c>
      <c r="CJ211" s="399">
        <v>-190.95934600000146</v>
      </c>
      <c r="CK211" s="399"/>
      <c r="CL211" s="399"/>
      <c r="CM211" s="399"/>
      <c r="CN211" s="399"/>
      <c r="CO211" s="399">
        <v>-202.66910999999965</v>
      </c>
      <c r="CP211" s="399">
        <v>0</v>
      </c>
      <c r="CQ211" s="399">
        <v>31</v>
      </c>
      <c r="CR211" s="399">
        <v>-202.808504425926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0</v>
      </c>
      <c r="DA211" s="399">
        <v>0</v>
      </c>
      <c r="DB211" s="399">
        <v>0</v>
      </c>
      <c r="DC211" s="399">
        <v>0</v>
      </c>
      <c r="DD211" s="399">
        <v>0</v>
      </c>
      <c r="DE211" s="399">
        <v>0</v>
      </c>
      <c r="DF211" s="399">
        <v>0</v>
      </c>
      <c r="DG211" s="399">
        <v>0</v>
      </c>
      <c r="DH211" s="399">
        <v>0</v>
      </c>
      <c r="DI211" s="399">
        <v>-173.80773067336986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-26.687212053026315</v>
      </c>
      <c r="DP211" s="399">
        <v>-2.3135616995299451</v>
      </c>
      <c r="DQ211" s="399">
        <v>0</v>
      </c>
      <c r="DR211" s="399">
        <v>0</v>
      </c>
      <c r="DS211" s="399"/>
      <c r="DT211" s="399"/>
      <c r="DU211" s="399"/>
      <c r="DV211" s="399">
        <v>0</v>
      </c>
      <c r="DW211" s="399">
        <v>0</v>
      </c>
      <c r="DX211" s="399">
        <v>0</v>
      </c>
      <c r="DY211" s="399">
        <v>-202.66910999999982</v>
      </c>
      <c r="DZ211" s="399">
        <v>0</v>
      </c>
      <c r="EA211" s="399">
        <v>0</v>
      </c>
      <c r="EB211" s="399">
        <v>0</v>
      </c>
      <c r="EC211" s="399">
        <v>0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229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210</v>
      </c>
      <c r="B212" s="399" t="s">
        <v>954</v>
      </c>
      <c r="C212" s="399" t="s">
        <v>2344</v>
      </c>
      <c r="D212" s="399" t="s">
        <v>533</v>
      </c>
      <c r="E212" s="399" t="s">
        <v>919</v>
      </c>
      <c r="F212" s="399" t="s">
        <v>2352</v>
      </c>
      <c r="G212" s="399" t="s">
        <v>1237</v>
      </c>
      <c r="H212" s="399" t="s">
        <v>1237</v>
      </c>
      <c r="I212" s="399" t="s">
        <v>1237</v>
      </c>
      <c r="J212" s="399" t="s">
        <v>2337</v>
      </c>
      <c r="K212" s="788">
        <v>44621</v>
      </c>
      <c r="L212" s="399">
        <v>100</v>
      </c>
      <c r="M212" s="399">
        <v>94</v>
      </c>
      <c r="N212" s="399">
        <v>0</v>
      </c>
      <c r="O212" s="399">
        <v>0</v>
      </c>
      <c r="P212" s="399">
        <v>0</v>
      </c>
      <c r="Q212" s="399">
        <v>0</v>
      </c>
      <c r="R212" s="399">
        <v>46.29</v>
      </c>
      <c r="S212" s="399"/>
      <c r="T212" s="399"/>
      <c r="U212" s="399">
        <v>4629</v>
      </c>
      <c r="V212" s="399"/>
      <c r="W212" s="399">
        <v>4629</v>
      </c>
      <c r="X212" s="399">
        <v>4115</v>
      </c>
      <c r="Y212" s="399">
        <v>0</v>
      </c>
      <c r="Z212" s="399">
        <v>0</v>
      </c>
      <c r="AA212" s="399">
        <v>0</v>
      </c>
      <c r="AB212" s="399">
        <v>0</v>
      </c>
      <c r="AC212" s="399">
        <v>0</v>
      </c>
      <c r="AD212" s="399">
        <v>1791.3012373515901</v>
      </c>
      <c r="AE212" s="399">
        <v>2837.3428309380402</v>
      </c>
      <c r="AF212" s="399"/>
      <c r="AG212" s="399"/>
      <c r="AH212" s="399"/>
      <c r="AI212" s="399">
        <v>0</v>
      </c>
      <c r="AJ212" s="399">
        <v>0</v>
      </c>
      <c r="AK212" s="399">
        <v>0</v>
      </c>
      <c r="AL212" s="399">
        <v>0</v>
      </c>
      <c r="AM212" s="399"/>
      <c r="AN212" s="399">
        <v>0</v>
      </c>
      <c r="AO212" s="399">
        <v>0</v>
      </c>
      <c r="AP212" s="399">
        <v>0</v>
      </c>
      <c r="AQ212" s="399">
        <v>0</v>
      </c>
      <c r="AR212" s="399">
        <v>0</v>
      </c>
      <c r="AS212" s="399"/>
      <c r="AT212" s="399"/>
      <c r="AU212" s="399">
        <v>0</v>
      </c>
      <c r="AV212" s="399">
        <v>0</v>
      </c>
      <c r="AW212" s="399">
        <v>0</v>
      </c>
      <c r="AX212" s="399"/>
      <c r="AY212" s="399"/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/>
      <c r="BG212" s="399">
        <v>0</v>
      </c>
      <c r="BH212" s="399">
        <v>0</v>
      </c>
      <c r="BI212" s="399">
        <v>0</v>
      </c>
      <c r="BJ212" s="399">
        <v>0</v>
      </c>
      <c r="BK212" s="399">
        <v>8247.51</v>
      </c>
      <c r="BL212" s="399">
        <v>1</v>
      </c>
      <c r="BM212" s="399"/>
      <c r="BN212" s="399"/>
      <c r="BO212" s="399"/>
      <c r="BP212" s="399"/>
      <c r="BQ212" s="399">
        <v>246.89999999999998</v>
      </c>
      <c r="BR212" s="399"/>
      <c r="BS212" s="399"/>
      <c r="BT212" s="399"/>
      <c r="BU212" s="399"/>
      <c r="BV212" s="399">
        <v>0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3868.1</v>
      </c>
      <c r="CJ212" s="399">
        <v>-483.19000000000096</v>
      </c>
      <c r="CK212" s="399"/>
      <c r="CL212" s="399"/>
      <c r="CM212" s="399"/>
      <c r="CN212" s="399"/>
      <c r="CO212" s="399">
        <v>-514</v>
      </c>
      <c r="CP212" s="399">
        <v>0</v>
      </c>
      <c r="CQ212" s="399">
        <v>31</v>
      </c>
      <c r="CR212" s="399">
        <v>-9.5837838436800666</v>
      </c>
      <c r="CS212" s="399">
        <v>0</v>
      </c>
      <c r="CT212" s="399">
        <v>0</v>
      </c>
      <c r="CU212" s="399">
        <v>0</v>
      </c>
      <c r="CV212" s="399">
        <v>0</v>
      </c>
      <c r="CW212" s="399"/>
      <c r="CX212" s="399"/>
      <c r="CY212" s="399"/>
      <c r="CZ212" s="399">
        <v>-9.5837838436800666</v>
      </c>
      <c r="DA212" s="399">
        <v>0</v>
      </c>
      <c r="DB212" s="399">
        <v>0</v>
      </c>
      <c r="DC212" s="399"/>
      <c r="DD212" s="399"/>
      <c r="DE212" s="399">
        <v>0</v>
      </c>
      <c r="DF212" s="399">
        <v>0</v>
      </c>
      <c r="DG212" s="399">
        <v>0</v>
      </c>
      <c r="DH212" s="399">
        <v>0</v>
      </c>
      <c r="DI212" s="399">
        <v>0</v>
      </c>
      <c r="DJ212" s="399"/>
      <c r="DK212" s="399">
        <v>0</v>
      </c>
      <c r="DL212" s="399">
        <v>0</v>
      </c>
      <c r="DM212" s="399"/>
      <c r="DN212" s="399">
        <v>0</v>
      </c>
      <c r="DO212" s="399">
        <v>0</v>
      </c>
      <c r="DP212" s="399">
        <v>0</v>
      </c>
      <c r="DQ212" s="399">
        <v>0</v>
      </c>
      <c r="DR212" s="399">
        <v>0</v>
      </c>
      <c r="DS212" s="399"/>
      <c r="DT212" s="399"/>
      <c r="DU212" s="399">
        <v>2837.3428309380402</v>
      </c>
      <c r="DV212" s="399"/>
      <c r="DW212" s="399">
        <v>0</v>
      </c>
      <c r="DX212" s="399">
        <v>0</v>
      </c>
      <c r="DY212" s="399">
        <v>-514</v>
      </c>
      <c r="DZ212" s="399"/>
      <c r="EA212" s="399">
        <v>0</v>
      </c>
      <c r="EB212" s="399"/>
      <c r="EC212" s="399">
        <v>-504.17870577822032</v>
      </c>
      <c r="ED212" s="399"/>
      <c r="EE212" s="399">
        <v>0</v>
      </c>
      <c r="EF212" s="399">
        <v>0</v>
      </c>
      <c r="EG212" s="399"/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/>
      <c r="EN212" s="399"/>
      <c r="EO212" s="399">
        <v>0</v>
      </c>
      <c r="EP212" s="399">
        <v>0</v>
      </c>
      <c r="EQ212" s="399"/>
      <c r="ER212" s="399">
        <v>0</v>
      </c>
      <c r="ES212" s="399"/>
      <c r="ET212" s="399">
        <v>0</v>
      </c>
      <c r="EU212" s="399"/>
      <c r="EV212" s="399">
        <v>229</v>
      </c>
      <c r="EW212" s="399"/>
      <c r="EX212" s="399"/>
      <c r="EY212" s="399"/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211</v>
      </c>
      <c r="B213" s="399" t="s">
        <v>954</v>
      </c>
      <c r="C213" s="399" t="s">
        <v>2336</v>
      </c>
      <c r="D213" s="399" t="s">
        <v>1819</v>
      </c>
      <c r="E213" s="399" t="s">
        <v>887</v>
      </c>
      <c r="F213" s="399" t="s">
        <v>887</v>
      </c>
      <c r="G213" s="399" t="s">
        <v>1237</v>
      </c>
      <c r="H213" s="399" t="s">
        <v>1237</v>
      </c>
      <c r="I213" s="399" t="s">
        <v>1237</v>
      </c>
      <c r="J213" s="399" t="s">
        <v>2337</v>
      </c>
      <c r="K213" s="788">
        <v>44652</v>
      </c>
      <c r="L213" s="399">
        <v>0</v>
      </c>
      <c r="M213" s="399">
        <v>0</v>
      </c>
      <c r="N213" s="399">
        <v>526.52200000000005</v>
      </c>
      <c r="O213" s="399">
        <v>526.52200000000005</v>
      </c>
      <c r="P213" s="399">
        <v>526.52200000000005</v>
      </c>
      <c r="Q213" s="399">
        <v>526.52200000000005</v>
      </c>
      <c r="R213" s="399"/>
      <c r="S213" s="399">
        <v>707.13</v>
      </c>
      <c r="T213" s="399">
        <v>119.97</v>
      </c>
      <c r="U213" s="399"/>
      <c r="V213" s="399">
        <v>435486.34620000003</v>
      </c>
      <c r="W213" s="399">
        <v>435486.34620000003</v>
      </c>
      <c r="X213" s="399">
        <v>383850.33366</v>
      </c>
      <c r="Y213" s="399">
        <v>0</v>
      </c>
      <c r="Z213" s="399">
        <v>32062.493785232007</v>
      </c>
      <c r="AA213" s="399">
        <v>0</v>
      </c>
      <c r="AB213" s="399">
        <v>0</v>
      </c>
      <c r="AC213" s="399">
        <v>0</v>
      </c>
      <c r="AD213" s="399">
        <v>56621.760349941724</v>
      </c>
      <c r="AE213" s="399">
        <v>268190.79845637659</v>
      </c>
      <c r="AF213" s="399">
        <v>63168.867539499639</v>
      </c>
      <c r="AG213" s="399">
        <v>0</v>
      </c>
      <c r="AH213" s="399">
        <v>0</v>
      </c>
      <c r="AI213" s="399">
        <v>0</v>
      </c>
      <c r="AJ213" s="399">
        <v>0</v>
      </c>
      <c r="AK213" s="399">
        <v>0</v>
      </c>
      <c r="AL213" s="399">
        <v>4954.690965982948</v>
      </c>
      <c r="AM213" s="399"/>
      <c r="AN213" s="399">
        <v>1132.7061210829334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9357.5667042331697</v>
      </c>
      <c r="BH213" s="399">
        <v>0</v>
      </c>
      <c r="BI213" s="399">
        <v>0</v>
      </c>
      <c r="BJ213" s="399">
        <v>0</v>
      </c>
      <c r="BK213" s="399">
        <v>85233.98</v>
      </c>
      <c r="BL213" s="399">
        <v>3111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>
        <v>72526.434243732801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383848.87559999997</v>
      </c>
      <c r="CJ213" s="399">
        <v>-51637.500600000087</v>
      </c>
      <c r="CK213" s="399"/>
      <c r="CL213" s="399"/>
      <c r="CM213" s="399"/>
      <c r="CN213" s="399"/>
      <c r="CO213" s="399">
        <v>-51636.012540000032</v>
      </c>
      <c r="CP213" s="399">
        <v>0</v>
      </c>
      <c r="CQ213" s="399">
        <v>30</v>
      </c>
      <c r="CR213" s="399">
        <v>-3979.6237545340846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-302.93660313899454</v>
      </c>
      <c r="DA213" s="399">
        <v>0</v>
      </c>
      <c r="DB213" s="399">
        <v>0</v>
      </c>
      <c r="DC213" s="399">
        <v>0</v>
      </c>
      <c r="DD213" s="399">
        <v>0</v>
      </c>
      <c r="DE213" s="399">
        <v>0</v>
      </c>
      <c r="DF213" s="399">
        <v>0</v>
      </c>
      <c r="DG213" s="399">
        <v>0</v>
      </c>
      <c r="DH213" s="399">
        <v>0</v>
      </c>
      <c r="DI213" s="399">
        <v>-3160.7932643866297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-422.23036342989599</v>
      </c>
      <c r="DP213" s="399">
        <v>-93.66352357856681</v>
      </c>
      <c r="DQ213" s="399">
        <v>0</v>
      </c>
      <c r="DR213" s="399">
        <v>0</v>
      </c>
      <c r="DS213" s="399"/>
      <c r="DT213" s="399"/>
      <c r="DU213" s="399"/>
      <c r="DV213" s="399">
        <v>268190.79845637659</v>
      </c>
      <c r="DW213" s="399">
        <v>0</v>
      </c>
      <c r="DX213" s="399">
        <v>0</v>
      </c>
      <c r="DY213" s="399">
        <v>-51636.012540000025</v>
      </c>
      <c r="DZ213" s="399">
        <v>0</v>
      </c>
      <c r="EA213" s="399">
        <v>0</v>
      </c>
      <c r="EB213" s="399">
        <v>0</v>
      </c>
      <c r="EC213" s="399">
        <v>-47655.887118392275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229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212</v>
      </c>
      <c r="B214" s="399" t="s">
        <v>2338</v>
      </c>
      <c r="C214" s="399" t="s">
        <v>2336</v>
      </c>
      <c r="D214" s="399" t="s">
        <v>1819</v>
      </c>
      <c r="E214" s="399" t="s">
        <v>887</v>
      </c>
      <c r="F214" s="399" t="s">
        <v>887</v>
      </c>
      <c r="G214" s="399" t="s">
        <v>1237</v>
      </c>
      <c r="H214" s="399" t="s">
        <v>1237</v>
      </c>
      <c r="I214" s="399" t="s">
        <v>1237</v>
      </c>
      <c r="J214" s="399" t="s">
        <v>2337</v>
      </c>
      <c r="K214" s="788">
        <v>44652</v>
      </c>
      <c r="L214" s="399">
        <v>0</v>
      </c>
      <c r="M214" s="399">
        <v>0</v>
      </c>
      <c r="N214" s="399">
        <v>-10.42</v>
      </c>
      <c r="O214" s="399">
        <v>-10.42</v>
      </c>
      <c r="P214" s="399">
        <v>-10.42</v>
      </c>
      <c r="Q214" s="399">
        <v>-10.42</v>
      </c>
      <c r="R214" s="399"/>
      <c r="S214" s="399">
        <v>707.13</v>
      </c>
      <c r="T214" s="399">
        <v>119.97</v>
      </c>
      <c r="U214" s="399"/>
      <c r="V214" s="399">
        <v>-8618.3819999999996</v>
      </c>
      <c r="W214" s="399">
        <v>-8618.3819999999996</v>
      </c>
      <c r="X214" s="399">
        <v>-7596.4925999999996</v>
      </c>
      <c r="Y214" s="399">
        <v>0</v>
      </c>
      <c r="Z214" s="399">
        <v>-634.52464520403225</v>
      </c>
      <c r="AA214" s="399">
        <v>0</v>
      </c>
      <c r="AB214" s="399">
        <v>0</v>
      </c>
      <c r="AC214" s="399">
        <v>0</v>
      </c>
      <c r="AD214" s="399">
        <v>-1120.5585765578508</v>
      </c>
      <c r="AE214" s="399">
        <v>-5307.5619250770978</v>
      </c>
      <c r="AF214" s="399">
        <v>-1250.1274396161721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-98.054553970284843</v>
      </c>
      <c r="AM214" s="399"/>
      <c r="AN214" s="399">
        <v>-22.41653298757538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-185.18854873701309</v>
      </c>
      <c r="BH214" s="399">
        <v>0</v>
      </c>
      <c r="BI214" s="399">
        <v>0</v>
      </c>
      <c r="BJ214" s="399">
        <v>0</v>
      </c>
      <c r="BK214" s="399">
        <v>-2822.62</v>
      </c>
      <c r="BL214" s="399">
        <v>0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-1435.3159883531853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-7596.4925999999996</v>
      </c>
      <c r="CJ214" s="399">
        <v>1021.8593999999994</v>
      </c>
      <c r="CK214" s="399"/>
      <c r="CL214" s="399"/>
      <c r="CM214" s="399"/>
      <c r="CN214" s="399"/>
      <c r="CO214" s="399">
        <v>1021.8894000000005</v>
      </c>
      <c r="CP214" s="399">
        <v>0</v>
      </c>
      <c r="CQ214" s="399">
        <v>30</v>
      </c>
      <c r="CR214" s="399">
        <v>78.757733812158676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5.9951899535219582</v>
      </c>
      <c r="DA214" s="399">
        <v>0</v>
      </c>
      <c r="DB214" s="399">
        <v>0</v>
      </c>
      <c r="DC214" s="399">
        <v>0</v>
      </c>
      <c r="DD214" s="399">
        <v>0</v>
      </c>
      <c r="DE214" s="399">
        <v>0</v>
      </c>
      <c r="DF214" s="399">
        <v>0</v>
      </c>
      <c r="DG214" s="399">
        <v>0</v>
      </c>
      <c r="DH214" s="399">
        <v>0</v>
      </c>
      <c r="DI214" s="399">
        <v>62.552876831183994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8.356042837601322</v>
      </c>
      <c r="DP214" s="399">
        <v>1.8536241898508798</v>
      </c>
      <c r="DQ214" s="399">
        <v>0</v>
      </c>
      <c r="DR214" s="399">
        <v>0</v>
      </c>
      <c r="DS214" s="399"/>
      <c r="DT214" s="399"/>
      <c r="DU214" s="399"/>
      <c r="DV214" s="399">
        <v>-5307.5619250770978</v>
      </c>
      <c r="DW214" s="399">
        <v>0</v>
      </c>
      <c r="DX214" s="399">
        <v>0</v>
      </c>
      <c r="DY214" s="399">
        <v>1021.8894000000009</v>
      </c>
      <c r="DZ214" s="399">
        <v>0</v>
      </c>
      <c r="EA214" s="399">
        <v>0</v>
      </c>
      <c r="EB214" s="399">
        <v>0</v>
      </c>
      <c r="EC214" s="399">
        <v>943.12173807295312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229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213</v>
      </c>
      <c r="B215" s="399" t="s">
        <v>2339</v>
      </c>
      <c r="C215" s="399" t="s">
        <v>2336</v>
      </c>
      <c r="D215" s="399" t="s">
        <v>1819</v>
      </c>
      <c r="E215" s="399" t="s">
        <v>887</v>
      </c>
      <c r="F215" s="399" t="s">
        <v>887</v>
      </c>
      <c r="G215" s="399" t="s">
        <v>1237</v>
      </c>
      <c r="H215" s="399" t="s">
        <v>1237</v>
      </c>
      <c r="I215" s="399" t="s">
        <v>1237</v>
      </c>
      <c r="J215" s="399" t="s">
        <v>2337</v>
      </c>
      <c r="K215" s="788">
        <v>44652</v>
      </c>
      <c r="L215" s="399">
        <v>0</v>
      </c>
      <c r="M215" s="399">
        <v>0</v>
      </c>
      <c r="N215" s="399">
        <v>6.2670000000000003</v>
      </c>
      <c r="O215" s="399">
        <v>6.2670000000000003</v>
      </c>
      <c r="P215" s="399">
        <v>6.2670000000000003</v>
      </c>
      <c r="Q215" s="399">
        <v>6.2670000000000003</v>
      </c>
      <c r="R215" s="399"/>
      <c r="S215" s="399">
        <v>707.13</v>
      </c>
      <c r="T215" s="399">
        <v>119.97</v>
      </c>
      <c r="U215" s="399"/>
      <c r="V215" s="399">
        <v>5183.4357</v>
      </c>
      <c r="W215" s="399">
        <v>5183.4357</v>
      </c>
      <c r="X215" s="399">
        <v>4568.8310099999999</v>
      </c>
      <c r="Y215" s="399">
        <v>0</v>
      </c>
      <c r="Z215" s="399">
        <v>381.62821031609121</v>
      </c>
      <c r="AA215" s="399">
        <v>0</v>
      </c>
      <c r="AB215" s="399">
        <v>0</v>
      </c>
      <c r="AC215" s="399">
        <v>0</v>
      </c>
      <c r="AD215" s="399">
        <v>673.948234096742</v>
      </c>
      <c r="AE215" s="399">
        <v>3192.1775992762164</v>
      </c>
      <c r="AF215" s="399">
        <v>751.8760714083063</v>
      </c>
      <c r="AG215" s="399">
        <v>0</v>
      </c>
      <c r="AH215" s="399">
        <v>0</v>
      </c>
      <c r="AI215" s="399">
        <v>0</v>
      </c>
      <c r="AJ215" s="399">
        <v>0</v>
      </c>
      <c r="AK215" s="399">
        <v>0</v>
      </c>
      <c r="AL215" s="399">
        <v>58.973885770803754</v>
      </c>
      <c r="AM215" s="399"/>
      <c r="AN215" s="399">
        <v>13.482189273813331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111.37971544480433</v>
      </c>
      <c r="BH215" s="399">
        <v>0</v>
      </c>
      <c r="BI215" s="399">
        <v>0</v>
      </c>
      <c r="BJ215" s="399">
        <v>0</v>
      </c>
      <c r="BK215" s="399">
        <v>3345.54</v>
      </c>
      <c r="BL215" s="399">
        <v>45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863.25578685311064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4571.0180999999993</v>
      </c>
      <c r="CJ215" s="399">
        <v>-612.44760000000133</v>
      </c>
      <c r="CK215" s="399"/>
      <c r="CL215" s="399"/>
      <c r="CM215" s="399"/>
      <c r="CN215" s="399"/>
      <c r="CO215" s="399">
        <v>-614.60469000000035</v>
      </c>
      <c r="CP215" s="399">
        <v>0</v>
      </c>
      <c r="CQ215" s="399">
        <v>30</v>
      </c>
      <c r="CR215" s="399">
        <v>-47.368015144030096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-3.6057442839464784</v>
      </c>
      <c r="DA215" s="399">
        <v>0</v>
      </c>
      <c r="DB215" s="399">
        <v>0</v>
      </c>
      <c r="DC215" s="399">
        <v>0</v>
      </c>
      <c r="DD215" s="399">
        <v>0</v>
      </c>
      <c r="DE215" s="399">
        <v>0</v>
      </c>
      <c r="DF215" s="399">
        <v>0</v>
      </c>
      <c r="DG215" s="399">
        <v>0</v>
      </c>
      <c r="DH215" s="399">
        <v>0</v>
      </c>
      <c r="DI215" s="399">
        <v>-37.621773426202537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-5.0256545550141496</v>
      </c>
      <c r="DP215" s="399">
        <v>-1.1148428788671261</v>
      </c>
      <c r="DQ215" s="399">
        <v>0</v>
      </c>
      <c r="DR215" s="399">
        <v>0</v>
      </c>
      <c r="DS215" s="399"/>
      <c r="DT215" s="399"/>
      <c r="DU215" s="399"/>
      <c r="DV215" s="399">
        <v>3192.1775992762164</v>
      </c>
      <c r="DW215" s="399">
        <v>0</v>
      </c>
      <c r="DX215" s="399">
        <v>0</v>
      </c>
      <c r="DY215" s="399">
        <v>-614.60469000000012</v>
      </c>
      <c r="DZ215" s="399">
        <v>0</v>
      </c>
      <c r="EA215" s="399">
        <v>0</v>
      </c>
      <c r="EB215" s="399">
        <v>0</v>
      </c>
      <c r="EC215" s="399">
        <v>-567.2307036951247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0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229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214</v>
      </c>
      <c r="B216" s="399" t="s">
        <v>2339</v>
      </c>
      <c r="C216" s="399" t="s">
        <v>2336</v>
      </c>
      <c r="D216" s="399" t="s">
        <v>1819</v>
      </c>
      <c r="E216" s="399" t="s">
        <v>887</v>
      </c>
      <c r="F216" s="399" t="s">
        <v>887</v>
      </c>
      <c r="G216" s="399" t="s">
        <v>1237</v>
      </c>
      <c r="H216" s="399" t="s">
        <v>1237</v>
      </c>
      <c r="I216" s="399" t="s">
        <v>1237</v>
      </c>
      <c r="J216" s="399" t="s">
        <v>2337</v>
      </c>
      <c r="K216" s="788">
        <v>44652</v>
      </c>
      <c r="L216" s="399">
        <v>0</v>
      </c>
      <c r="M216" s="399">
        <v>0</v>
      </c>
      <c r="N216" s="399">
        <v>0</v>
      </c>
      <c r="O216" s="399">
        <v>0</v>
      </c>
      <c r="P216" s="399">
        <v>0</v>
      </c>
      <c r="Q216" s="399">
        <v>0</v>
      </c>
      <c r="R216" s="399"/>
      <c r="S216" s="399"/>
      <c r="T216" s="399"/>
      <c r="U216" s="399"/>
      <c r="V216" s="399"/>
      <c r="W216" s="399"/>
      <c r="X216" s="399"/>
      <c r="Y216" s="399"/>
      <c r="Z216" s="399"/>
      <c r="AA216" s="399">
        <v>0</v>
      </c>
      <c r="AB216" s="399"/>
      <c r="AC216" s="399"/>
      <c r="AD216" s="399"/>
      <c r="AE216" s="399"/>
      <c r="AF216" s="399"/>
      <c r="AG216" s="399"/>
      <c r="AH216" s="399"/>
      <c r="AI216" s="399"/>
      <c r="AJ216" s="399"/>
      <c r="AK216" s="399"/>
      <c r="AL216" s="399"/>
      <c r="AM216" s="399"/>
      <c r="AN216" s="399"/>
      <c r="AO216" s="399"/>
      <c r="AP216" s="399"/>
      <c r="AQ216" s="399"/>
      <c r="AR216" s="399"/>
      <c r="AS216" s="399"/>
      <c r="AT216" s="399"/>
      <c r="AU216" s="399"/>
      <c r="AV216" s="399"/>
      <c r="AW216" s="399"/>
      <c r="AX216" s="399"/>
      <c r="AY216" s="399"/>
      <c r="AZ216" s="399">
        <v>0</v>
      </c>
      <c r="BA216" s="399"/>
      <c r="BB216" s="399"/>
      <c r="BC216" s="399"/>
      <c r="BD216" s="399"/>
      <c r="BE216" s="399"/>
      <c r="BF216" s="399"/>
      <c r="BG216" s="399"/>
      <c r="BH216" s="399"/>
      <c r="BI216" s="399">
        <v>0</v>
      </c>
      <c r="BJ216" s="399">
        <v>0</v>
      </c>
      <c r="BK216" s="399">
        <v>0</v>
      </c>
      <c r="BL216" s="399">
        <v>2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/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/>
      <c r="CJ216" s="399">
        <v>-0.03</v>
      </c>
      <c r="CK216" s="399"/>
      <c r="CL216" s="399"/>
      <c r="CM216" s="399"/>
      <c r="CN216" s="399"/>
      <c r="CO216" s="399">
        <v>0</v>
      </c>
      <c r="CP216" s="399">
        <v>0</v>
      </c>
      <c r="CQ216" s="399">
        <v>30</v>
      </c>
      <c r="CR216" s="399"/>
      <c r="CS216" s="399"/>
      <c r="CT216" s="399"/>
      <c r="CU216" s="399"/>
      <c r="CV216" s="399"/>
      <c r="CW216" s="399"/>
      <c r="CX216" s="399"/>
      <c r="CY216" s="399"/>
      <c r="CZ216" s="399"/>
      <c r="DA216" s="399"/>
      <c r="DB216" s="399"/>
      <c r="DC216" s="399"/>
      <c r="DD216" s="399"/>
      <c r="DE216" s="399"/>
      <c r="DF216" s="399"/>
      <c r="DG216" s="399"/>
      <c r="DH216" s="399"/>
      <c r="DI216" s="399"/>
      <c r="DJ216" s="399"/>
      <c r="DK216" s="399">
        <v>0</v>
      </c>
      <c r="DL216" s="399"/>
      <c r="DM216" s="399"/>
      <c r="DN216" s="399"/>
      <c r="DO216" s="399"/>
      <c r="DP216" s="399"/>
      <c r="DQ216" s="399"/>
      <c r="DR216" s="399"/>
      <c r="DS216" s="399"/>
      <c r="DT216" s="399"/>
      <c r="DU216" s="399"/>
      <c r="DV216" s="399"/>
      <c r="DW216" s="399"/>
      <c r="DX216" s="399"/>
      <c r="DY216" s="399"/>
      <c r="DZ216" s="399"/>
      <c r="EA216" s="399"/>
      <c r="EB216" s="399"/>
      <c r="EC216" s="399"/>
      <c r="ED216" s="399"/>
      <c r="EE216" s="399"/>
      <c r="EF216" s="399"/>
      <c r="EG216" s="399"/>
      <c r="EH216" s="399"/>
      <c r="EI216" s="399"/>
      <c r="EJ216" s="399"/>
      <c r="EK216" s="399"/>
      <c r="EL216" s="399"/>
      <c r="EM216" s="399"/>
      <c r="EN216" s="399"/>
      <c r="EO216" s="399"/>
      <c r="EP216" s="399"/>
      <c r="EQ216" s="399"/>
      <c r="ER216" s="399"/>
      <c r="ES216" s="399"/>
      <c r="ET216" s="399"/>
      <c r="EU216" s="399"/>
      <c r="EV216" s="399">
        <v>229</v>
      </c>
      <c r="EW216" s="399"/>
      <c r="EX216" s="399"/>
      <c r="EY216" s="399"/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215</v>
      </c>
      <c r="B217" s="399" t="s">
        <v>954</v>
      </c>
      <c r="C217" s="399" t="s">
        <v>2336</v>
      </c>
      <c r="D217" s="399" t="s">
        <v>1819</v>
      </c>
      <c r="E217" s="399" t="s">
        <v>887</v>
      </c>
      <c r="F217" s="399" t="s">
        <v>2340</v>
      </c>
      <c r="G217" s="399" t="s">
        <v>1237</v>
      </c>
      <c r="H217" s="399" t="s">
        <v>1237</v>
      </c>
      <c r="I217" s="399" t="s">
        <v>1237</v>
      </c>
      <c r="J217" s="399" t="s">
        <v>2337</v>
      </c>
      <c r="K217" s="788">
        <v>44652</v>
      </c>
      <c r="L217" s="399">
        <v>0</v>
      </c>
      <c r="M217" s="399">
        <v>0</v>
      </c>
      <c r="N217" s="399">
        <v>5.19</v>
      </c>
      <c r="O217" s="399">
        <v>5.19</v>
      </c>
      <c r="P217" s="399">
        <v>5.19</v>
      </c>
      <c r="Q217" s="399">
        <v>5.19</v>
      </c>
      <c r="R217" s="399"/>
      <c r="S217" s="399">
        <v>636.83000000000004</v>
      </c>
      <c r="T217" s="399">
        <v>119.97</v>
      </c>
      <c r="U217" s="399"/>
      <c r="V217" s="399">
        <v>3927.7920000000004</v>
      </c>
      <c r="W217" s="399">
        <v>3927.7920000000004</v>
      </c>
      <c r="X217" s="399">
        <v>3454.1007</v>
      </c>
      <c r="Y217" s="399">
        <v>0</v>
      </c>
      <c r="Z217" s="399">
        <v>0</v>
      </c>
      <c r="AA217" s="399">
        <v>0</v>
      </c>
      <c r="AB217" s="399">
        <v>0</v>
      </c>
      <c r="AC217" s="399">
        <v>0</v>
      </c>
      <c r="AD217" s="399">
        <v>558.12850406288351</v>
      </c>
      <c r="AE217" s="399">
        <v>2643.5937035652728</v>
      </c>
      <c r="AF217" s="399">
        <v>622.66424295661557</v>
      </c>
      <c r="AG217" s="399">
        <v>0</v>
      </c>
      <c r="AH217" s="399">
        <v>0</v>
      </c>
      <c r="AI217" s="399">
        <v>0</v>
      </c>
      <c r="AJ217" s="399">
        <v>0</v>
      </c>
      <c r="AK217" s="399">
        <v>0</v>
      </c>
      <c r="AL217" s="399">
        <v>0</v>
      </c>
      <c r="AM217" s="399"/>
      <c r="AN217" s="399">
        <v>11.165240518763554</v>
      </c>
      <c r="AO217" s="399">
        <v>0</v>
      </c>
      <c r="AP217" s="399">
        <v>0</v>
      </c>
      <c r="AQ217" s="399">
        <v>0</v>
      </c>
      <c r="AR217" s="399">
        <v>0</v>
      </c>
      <c r="AS217" s="399">
        <v>0</v>
      </c>
      <c r="AT217" s="399">
        <v>0</v>
      </c>
      <c r="AU217" s="399">
        <v>0</v>
      </c>
      <c r="AV217" s="399">
        <v>0</v>
      </c>
      <c r="AW217" s="399">
        <v>0</v>
      </c>
      <c r="AX217" s="399">
        <v>0</v>
      </c>
      <c r="AY217" s="399">
        <v>0</v>
      </c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>
        <v>0</v>
      </c>
      <c r="BG217" s="399">
        <v>92.238826098377928</v>
      </c>
      <c r="BH217" s="399">
        <v>0</v>
      </c>
      <c r="BI217" s="399">
        <v>0</v>
      </c>
      <c r="BJ217" s="399">
        <v>0</v>
      </c>
      <c r="BK217" s="399">
        <v>164.35</v>
      </c>
      <c r="BL217" s="399">
        <v>13</v>
      </c>
      <c r="BM217" s="399"/>
      <c r="BN217" s="399"/>
      <c r="BO217" s="399"/>
      <c r="BP217" s="399"/>
      <c r="BQ217" s="399"/>
      <c r="BR217" s="399"/>
      <c r="BS217" s="399"/>
      <c r="BT217" s="399">
        <v>2245.1421</v>
      </c>
      <c r="BU217" s="399"/>
      <c r="BV217" s="399">
        <v>714.90306905499347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1208.9585999999999</v>
      </c>
      <c r="CJ217" s="399">
        <v>-165.79860000000008</v>
      </c>
      <c r="CK217" s="399"/>
      <c r="CL217" s="399"/>
      <c r="CM217" s="399"/>
      <c r="CN217" s="399"/>
      <c r="CO217" s="399">
        <v>-473.69130000000052</v>
      </c>
      <c r="CP217" s="399">
        <v>0</v>
      </c>
      <c r="CQ217" s="399">
        <v>30</v>
      </c>
      <c r="CR217" s="399">
        <v>-3.9093421693000892</v>
      </c>
      <c r="CS217" s="399">
        <v>0</v>
      </c>
      <c r="CT217" s="399">
        <v>0</v>
      </c>
      <c r="CU217" s="399">
        <v>0</v>
      </c>
      <c r="CV217" s="399">
        <v>0</v>
      </c>
      <c r="CW217" s="399">
        <v>0</v>
      </c>
      <c r="CX217" s="399">
        <v>0</v>
      </c>
      <c r="CY217" s="399">
        <v>0</v>
      </c>
      <c r="CZ217" s="399">
        <v>-2.9860878943165972</v>
      </c>
      <c r="DA217" s="399">
        <v>0</v>
      </c>
      <c r="DB217" s="399">
        <v>0</v>
      </c>
      <c r="DC217" s="399">
        <v>0</v>
      </c>
      <c r="DD217" s="399">
        <v>0</v>
      </c>
      <c r="DE217" s="399">
        <v>0</v>
      </c>
      <c r="DF217" s="399">
        <v>0</v>
      </c>
      <c r="DG217" s="399">
        <v>0</v>
      </c>
      <c r="DH217" s="399">
        <v>0</v>
      </c>
      <c r="DI217" s="399">
        <v>0</v>
      </c>
      <c r="DJ217" s="399"/>
      <c r="DK217" s="399">
        <v>0</v>
      </c>
      <c r="DL217" s="399">
        <v>0</v>
      </c>
      <c r="DM217" s="399">
        <v>0</v>
      </c>
      <c r="DN217" s="399">
        <v>0</v>
      </c>
      <c r="DO217" s="399">
        <v>0</v>
      </c>
      <c r="DP217" s="399">
        <v>-0.92325427498330725</v>
      </c>
      <c r="DQ217" s="399">
        <v>0</v>
      </c>
      <c r="DR217" s="399">
        <v>0</v>
      </c>
      <c r="DS217" s="399"/>
      <c r="DT217" s="399"/>
      <c r="DU217" s="399"/>
      <c r="DV217" s="399">
        <v>2643.5937035652728</v>
      </c>
      <c r="DW217" s="399">
        <v>0</v>
      </c>
      <c r="DX217" s="399">
        <v>0</v>
      </c>
      <c r="DY217" s="399">
        <v>-473.69130000000041</v>
      </c>
      <c r="DZ217" s="399">
        <v>0</v>
      </c>
      <c r="EA217" s="399">
        <v>0</v>
      </c>
      <c r="EB217" s="399">
        <v>0</v>
      </c>
      <c r="EC217" s="399">
        <v>-469.75065456800667</v>
      </c>
      <c r="ED217" s="399">
        <v>0</v>
      </c>
      <c r="EE217" s="399">
        <v>0</v>
      </c>
      <c r="EF217" s="399">
        <v>0</v>
      </c>
      <c r="EG217" s="399">
        <v>0</v>
      </c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>
        <v>0</v>
      </c>
      <c r="EN217" s="399">
        <v>0</v>
      </c>
      <c r="EO217" s="399">
        <v>0</v>
      </c>
      <c r="EP217" s="399">
        <v>0</v>
      </c>
      <c r="EQ217" s="399">
        <v>0</v>
      </c>
      <c r="ER217" s="399">
        <v>0</v>
      </c>
      <c r="ES217" s="399">
        <v>0</v>
      </c>
      <c r="ET217" s="399">
        <v>0</v>
      </c>
      <c r="EU217" s="399">
        <v>0</v>
      </c>
      <c r="EV217" s="399">
        <v>229</v>
      </c>
      <c r="EW217" s="399">
        <v>0</v>
      </c>
      <c r="EX217" s="399">
        <v>0</v>
      </c>
      <c r="EY217" s="399">
        <v>0</v>
      </c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216</v>
      </c>
      <c r="B218" s="399" t="s">
        <v>954</v>
      </c>
      <c r="C218" s="399" t="s">
        <v>2336</v>
      </c>
      <c r="D218" s="399" t="s">
        <v>1819</v>
      </c>
      <c r="E218" s="399" t="s">
        <v>887</v>
      </c>
      <c r="F218" s="399" t="s">
        <v>2341</v>
      </c>
      <c r="G218" s="399" t="s">
        <v>1237</v>
      </c>
      <c r="H218" s="399" t="s">
        <v>1237</v>
      </c>
      <c r="I218" s="399" t="s">
        <v>1237</v>
      </c>
      <c r="J218" s="399" t="s">
        <v>2337</v>
      </c>
      <c r="K218" s="788">
        <v>44652</v>
      </c>
      <c r="L218" s="399">
        <v>0</v>
      </c>
      <c r="M218" s="399">
        <v>0</v>
      </c>
      <c r="N218" s="399">
        <v>10.208</v>
      </c>
      <c r="O218" s="399">
        <v>10.208</v>
      </c>
      <c r="P218" s="399">
        <v>10.208</v>
      </c>
      <c r="Q218" s="399">
        <v>10.208</v>
      </c>
      <c r="R218" s="399"/>
      <c r="S218" s="399">
        <v>636.83000000000004</v>
      </c>
      <c r="T218" s="399">
        <v>119.97</v>
      </c>
      <c r="U218" s="399"/>
      <c r="V218" s="399">
        <v>7725.4144000000006</v>
      </c>
      <c r="W218" s="399">
        <v>7725.4144000000006</v>
      </c>
      <c r="X218" s="399">
        <v>6793.7302399999999</v>
      </c>
      <c r="Y218" s="399">
        <v>0</v>
      </c>
      <c r="Z218" s="399">
        <v>0</v>
      </c>
      <c r="AA218" s="399">
        <v>0</v>
      </c>
      <c r="AB218" s="399">
        <v>0</v>
      </c>
      <c r="AC218" s="399">
        <v>0</v>
      </c>
      <c r="AD218" s="399">
        <v>1097.7602638678063</v>
      </c>
      <c r="AE218" s="399">
        <v>5199.5769799603668</v>
      </c>
      <c r="AF218" s="399">
        <v>1224.6929849905841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0</v>
      </c>
      <c r="AM218" s="399"/>
      <c r="AN218" s="399">
        <v>21.960457652319526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181.42079707364968</v>
      </c>
      <c r="BH218" s="399">
        <v>0</v>
      </c>
      <c r="BI218" s="399">
        <v>0</v>
      </c>
      <c r="BJ218" s="399">
        <v>0</v>
      </c>
      <c r="BK218" s="399">
        <v>555.49</v>
      </c>
      <c r="BL218" s="399">
        <v>32</v>
      </c>
      <c r="BM218" s="399"/>
      <c r="BN218" s="399"/>
      <c r="BO218" s="399"/>
      <c r="BP218" s="399"/>
      <c r="BQ218" s="399"/>
      <c r="BR218" s="399"/>
      <c r="BS218" s="399"/>
      <c r="BT218" s="399">
        <v>2717.4716799999997</v>
      </c>
      <c r="BU218" s="399"/>
      <c r="BV218" s="399">
        <v>1406.1137820642339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4077.0572000000002</v>
      </c>
      <c r="CJ218" s="399">
        <v>-558.22144000000117</v>
      </c>
      <c r="CK218" s="399"/>
      <c r="CL218" s="399"/>
      <c r="CM218" s="399"/>
      <c r="CN218" s="399"/>
      <c r="CO218" s="399">
        <v>-931.68416000000104</v>
      </c>
      <c r="CP218" s="399">
        <v>0</v>
      </c>
      <c r="CQ218" s="399">
        <v>30</v>
      </c>
      <c r="CR218" s="399">
        <v>-7.6891261780760942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-5.8732148796116235</v>
      </c>
      <c r="DA218" s="399">
        <v>0</v>
      </c>
      <c r="DB218" s="399">
        <v>0</v>
      </c>
      <c r="DC218" s="399">
        <v>0</v>
      </c>
      <c r="DD218" s="399">
        <v>0</v>
      </c>
      <c r="DE218" s="399">
        <v>0</v>
      </c>
      <c r="DF218" s="399">
        <v>0</v>
      </c>
      <c r="DG218" s="399">
        <v>0</v>
      </c>
      <c r="DH218" s="399">
        <v>0</v>
      </c>
      <c r="DI218" s="399">
        <v>0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0</v>
      </c>
      <c r="DP218" s="399">
        <v>-1.8159112984642753</v>
      </c>
      <c r="DQ218" s="399">
        <v>0</v>
      </c>
      <c r="DR218" s="399">
        <v>0</v>
      </c>
      <c r="DS218" s="399"/>
      <c r="DT218" s="399"/>
      <c r="DU218" s="399"/>
      <c r="DV218" s="399">
        <v>5199.5769799603668</v>
      </c>
      <c r="DW218" s="399">
        <v>0</v>
      </c>
      <c r="DX218" s="399">
        <v>0</v>
      </c>
      <c r="DY218" s="399">
        <v>-931.6841600000007</v>
      </c>
      <c r="DZ218" s="399">
        <v>0</v>
      </c>
      <c r="EA218" s="399">
        <v>0</v>
      </c>
      <c r="EB218" s="399">
        <v>0</v>
      </c>
      <c r="EC218" s="399">
        <v>-923.93346470717006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229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217</v>
      </c>
      <c r="B219" s="399" t="s">
        <v>954</v>
      </c>
      <c r="C219" s="399" t="s">
        <v>2336</v>
      </c>
      <c r="D219" s="399" t="s">
        <v>1819</v>
      </c>
      <c r="E219" s="399" t="s">
        <v>887</v>
      </c>
      <c r="F219" s="399" t="s">
        <v>2342</v>
      </c>
      <c r="G219" s="399" t="s">
        <v>1237</v>
      </c>
      <c r="H219" s="399" t="s">
        <v>1237</v>
      </c>
      <c r="I219" s="399" t="s">
        <v>1237</v>
      </c>
      <c r="J219" s="399" t="s">
        <v>2337</v>
      </c>
      <c r="K219" s="788">
        <v>44652</v>
      </c>
      <c r="L219" s="399">
        <v>0</v>
      </c>
      <c r="M219" s="399">
        <v>0</v>
      </c>
      <c r="N219" s="399">
        <v>10.356999999999999</v>
      </c>
      <c r="O219" s="399">
        <v>10.356999999999999</v>
      </c>
      <c r="P219" s="399">
        <v>10.356999999999999</v>
      </c>
      <c r="Q219" s="399">
        <v>10.356999999999999</v>
      </c>
      <c r="R219" s="399"/>
      <c r="S219" s="399">
        <v>636.83000000000004</v>
      </c>
      <c r="T219" s="399">
        <v>119.97</v>
      </c>
      <c r="U219" s="399"/>
      <c r="V219" s="399">
        <v>7838.1775999999991</v>
      </c>
      <c r="W219" s="399">
        <v>7838.1775999999991</v>
      </c>
      <c r="X219" s="399">
        <v>6892.8942099999986</v>
      </c>
      <c r="Y219" s="399">
        <v>0</v>
      </c>
      <c r="Z219" s="399">
        <v>0</v>
      </c>
      <c r="AA219" s="399">
        <v>0</v>
      </c>
      <c r="AB219" s="399">
        <v>0</v>
      </c>
      <c r="AC219" s="399">
        <v>0</v>
      </c>
      <c r="AD219" s="399">
        <v>1113.7836062773185</v>
      </c>
      <c r="AE219" s="399">
        <v>5275.472059311277</v>
      </c>
      <c r="AF219" s="399">
        <v>1242.5690875340397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0</v>
      </c>
      <c r="AM219" s="399"/>
      <c r="AN219" s="399">
        <v>22.281001166249347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184.06888668610793</v>
      </c>
      <c r="BH219" s="399">
        <v>0</v>
      </c>
      <c r="BI219" s="399">
        <v>0</v>
      </c>
      <c r="BJ219" s="399">
        <v>0</v>
      </c>
      <c r="BK219" s="399">
        <v>1413.09</v>
      </c>
      <c r="BL219" s="399">
        <v>79</v>
      </c>
      <c r="BM219" s="399"/>
      <c r="BN219" s="399"/>
      <c r="BO219" s="399"/>
      <c r="BP219" s="399"/>
      <c r="BQ219" s="399"/>
      <c r="BR219" s="399"/>
      <c r="BS219" s="399"/>
      <c r="BT219" s="399">
        <v>689.15477999999939</v>
      </c>
      <c r="BU219" s="399"/>
      <c r="BV219" s="399">
        <v>1426.6379742201475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6205.5364</v>
      </c>
      <c r="CJ219" s="399">
        <v>-848.85343999999986</v>
      </c>
      <c r="CK219" s="399"/>
      <c r="CL219" s="399"/>
      <c r="CM219" s="399"/>
      <c r="CN219" s="399"/>
      <c r="CO219" s="399">
        <v>-945.28339000000096</v>
      </c>
      <c r="CP219" s="399">
        <v>0</v>
      </c>
      <c r="CQ219" s="399">
        <v>30</v>
      </c>
      <c r="CR219" s="399">
        <v>-7.8013597008553006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-5.9589426438221835</v>
      </c>
      <c r="DA219" s="399">
        <v>0</v>
      </c>
      <c r="DB219" s="399">
        <v>0</v>
      </c>
      <c r="DC219" s="399">
        <v>0</v>
      </c>
      <c r="DD219" s="399">
        <v>0</v>
      </c>
      <c r="DE219" s="399">
        <v>0</v>
      </c>
      <c r="DF219" s="399">
        <v>0</v>
      </c>
      <c r="DG219" s="399">
        <v>0</v>
      </c>
      <c r="DH219" s="399">
        <v>0</v>
      </c>
      <c r="DI219" s="399">
        <v>0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0</v>
      </c>
      <c r="DP219" s="399">
        <v>-1.8424170570331633</v>
      </c>
      <c r="DQ219" s="399">
        <v>0</v>
      </c>
      <c r="DR219" s="399">
        <v>0</v>
      </c>
      <c r="DS219" s="399"/>
      <c r="DT219" s="399"/>
      <c r="DU219" s="399"/>
      <c r="DV219" s="399">
        <v>5275.472059311277</v>
      </c>
      <c r="DW219" s="399">
        <v>0</v>
      </c>
      <c r="DX219" s="399">
        <v>0</v>
      </c>
      <c r="DY219" s="399">
        <v>-945.28339000000051</v>
      </c>
      <c r="DZ219" s="399">
        <v>0</v>
      </c>
      <c r="EA219" s="399">
        <v>0</v>
      </c>
      <c r="EB219" s="399">
        <v>0</v>
      </c>
      <c r="EC219" s="399">
        <v>-937.41956249727264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229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218</v>
      </c>
      <c r="B220" s="399" t="s">
        <v>954</v>
      </c>
      <c r="C220" s="399" t="s">
        <v>2336</v>
      </c>
      <c r="D220" s="399" t="s">
        <v>1819</v>
      </c>
      <c r="E220" s="399" t="s">
        <v>887</v>
      </c>
      <c r="F220" s="399" t="s">
        <v>2343</v>
      </c>
      <c r="G220" s="399" t="s">
        <v>1237</v>
      </c>
      <c r="H220" s="399" t="s">
        <v>1237</v>
      </c>
      <c r="I220" s="399" t="s">
        <v>1237</v>
      </c>
      <c r="J220" s="399" t="s">
        <v>2337</v>
      </c>
      <c r="K220" s="788">
        <v>44652</v>
      </c>
      <c r="L220" s="399">
        <v>0</v>
      </c>
      <c r="M220" s="399">
        <v>0</v>
      </c>
      <c r="N220" s="399">
        <v>3.56</v>
      </c>
      <c r="O220" s="399">
        <v>3.56</v>
      </c>
      <c r="P220" s="399">
        <v>3.56</v>
      </c>
      <c r="Q220" s="399">
        <v>3.56</v>
      </c>
      <c r="R220" s="399"/>
      <c r="S220" s="399">
        <v>636.83000000000004</v>
      </c>
      <c r="T220" s="399">
        <v>119.97</v>
      </c>
      <c r="U220" s="399"/>
      <c r="V220" s="399">
        <v>2694.2080000000005</v>
      </c>
      <c r="W220" s="399">
        <v>2694.2080000000005</v>
      </c>
      <c r="X220" s="399">
        <v>2369.2867999999999</v>
      </c>
      <c r="Y220" s="399">
        <v>0</v>
      </c>
      <c r="Z220" s="399">
        <v>0</v>
      </c>
      <c r="AA220" s="399">
        <v>0</v>
      </c>
      <c r="AB220" s="399">
        <v>0</v>
      </c>
      <c r="AC220" s="399">
        <v>0</v>
      </c>
      <c r="AD220" s="399">
        <v>382.83959045546533</v>
      </c>
      <c r="AE220" s="399">
        <v>1813.3320972432314</v>
      </c>
      <c r="AF220" s="399">
        <v>427.10687956176326</v>
      </c>
      <c r="AG220" s="399">
        <v>0</v>
      </c>
      <c r="AH220" s="399">
        <v>0</v>
      </c>
      <c r="AI220" s="399">
        <v>0</v>
      </c>
      <c r="AJ220" s="399">
        <v>0</v>
      </c>
      <c r="AK220" s="399">
        <v>0</v>
      </c>
      <c r="AL220" s="399">
        <v>0</v>
      </c>
      <c r="AM220" s="399"/>
      <c r="AN220" s="399">
        <v>7.658623554296387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63.269792082895073</v>
      </c>
      <c r="BH220" s="399">
        <v>0</v>
      </c>
      <c r="BI220" s="399">
        <v>0</v>
      </c>
      <c r="BJ220" s="399">
        <v>0</v>
      </c>
      <c r="BK220" s="399">
        <v>789.52</v>
      </c>
      <c r="BL220" s="399">
        <v>49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>
        <v>490.37667164465836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2369.2867999999999</v>
      </c>
      <c r="CJ220" s="399">
        <v>-324.95120000000134</v>
      </c>
      <c r="CK220" s="399"/>
      <c r="CL220" s="399"/>
      <c r="CM220" s="399"/>
      <c r="CN220" s="399"/>
      <c r="CO220" s="399">
        <v>-324.92120000000034</v>
      </c>
      <c r="CP220" s="399">
        <v>0</v>
      </c>
      <c r="CQ220" s="399">
        <v>30</v>
      </c>
      <c r="CR220" s="399">
        <v>-2.6815526247991102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-2.048260675099641</v>
      </c>
      <c r="DA220" s="399">
        <v>0</v>
      </c>
      <c r="DB220" s="399">
        <v>0</v>
      </c>
      <c r="DC220" s="399">
        <v>0</v>
      </c>
      <c r="DD220" s="399">
        <v>0</v>
      </c>
      <c r="DE220" s="399">
        <v>0</v>
      </c>
      <c r="DF220" s="399">
        <v>0</v>
      </c>
      <c r="DG220" s="399">
        <v>0</v>
      </c>
      <c r="DH220" s="399">
        <v>0</v>
      </c>
      <c r="DI220" s="399">
        <v>0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0</v>
      </c>
      <c r="DP220" s="399">
        <v>-0.63329194969953306</v>
      </c>
      <c r="DQ220" s="399">
        <v>0</v>
      </c>
      <c r="DR220" s="399">
        <v>0</v>
      </c>
      <c r="DS220" s="399"/>
      <c r="DT220" s="399"/>
      <c r="DU220" s="399"/>
      <c r="DV220" s="399">
        <v>1813.3320972432314</v>
      </c>
      <c r="DW220" s="399">
        <v>0</v>
      </c>
      <c r="DX220" s="399">
        <v>0</v>
      </c>
      <c r="DY220" s="399">
        <v>-324.92120000000045</v>
      </c>
      <c r="DZ220" s="399">
        <v>0</v>
      </c>
      <c r="EA220" s="399">
        <v>0</v>
      </c>
      <c r="EB220" s="399">
        <v>0</v>
      </c>
      <c r="EC220" s="399">
        <v>-322.21817538768869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229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219</v>
      </c>
      <c r="B221" s="399" t="s">
        <v>954</v>
      </c>
      <c r="C221" s="399" t="s">
        <v>2336</v>
      </c>
      <c r="D221" s="399" t="s">
        <v>1822</v>
      </c>
      <c r="E221" s="399" t="s">
        <v>888</v>
      </c>
      <c r="F221" s="399" t="s">
        <v>1237</v>
      </c>
      <c r="G221" s="399" t="s">
        <v>1237</v>
      </c>
      <c r="H221" s="399" t="s">
        <v>1237</v>
      </c>
      <c r="I221" s="399" t="s">
        <v>1237</v>
      </c>
      <c r="J221" s="399" t="s">
        <v>2337</v>
      </c>
      <c r="K221" s="788">
        <v>44652</v>
      </c>
      <c r="L221" s="399">
        <v>0</v>
      </c>
      <c r="M221" s="399">
        <v>0</v>
      </c>
      <c r="N221" s="399">
        <v>139.82900000000001</v>
      </c>
      <c r="O221" s="399">
        <v>139.82900000000001</v>
      </c>
      <c r="P221" s="399">
        <v>139.82900000000001</v>
      </c>
      <c r="Q221" s="399">
        <v>139.82900000000001</v>
      </c>
      <c r="R221" s="399"/>
      <c r="S221" s="399">
        <v>707.13</v>
      </c>
      <c r="T221" s="399">
        <v>119.97</v>
      </c>
      <c r="U221" s="399"/>
      <c r="V221" s="399">
        <v>115652.5659</v>
      </c>
      <c r="W221" s="399">
        <v>115652.5659</v>
      </c>
      <c r="X221" s="399">
        <v>101939.53587000001</v>
      </c>
      <c r="Y221" s="399">
        <v>0</v>
      </c>
      <c r="Z221" s="399">
        <v>8514.870116529235</v>
      </c>
      <c r="AA221" s="399">
        <v>0</v>
      </c>
      <c r="AB221" s="399">
        <v>0</v>
      </c>
      <c r="AC221" s="399">
        <v>0</v>
      </c>
      <c r="AD221" s="399">
        <v>15037.100307246423</v>
      </c>
      <c r="AE221" s="399">
        <v>71223.711748714544</v>
      </c>
      <c r="AF221" s="399">
        <v>16775.822433213987</v>
      </c>
      <c r="AG221" s="399">
        <v>0</v>
      </c>
      <c r="AH221" s="399">
        <v>0</v>
      </c>
      <c r="AI221" s="399">
        <v>0</v>
      </c>
      <c r="AJ221" s="399">
        <v>0</v>
      </c>
      <c r="AK221" s="399">
        <v>0</v>
      </c>
      <c r="AL221" s="399">
        <v>1315.822478609497</v>
      </c>
      <c r="AM221" s="399"/>
      <c r="AN221" s="399">
        <v>300.81395308250268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2485.0988081907685</v>
      </c>
      <c r="BH221" s="399">
        <v>0</v>
      </c>
      <c r="BI221" s="399">
        <v>0</v>
      </c>
      <c r="BJ221" s="399">
        <v>0</v>
      </c>
      <c r="BK221" s="399">
        <v>38458.85</v>
      </c>
      <c r="BL221" s="399">
        <v>67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19260.921241404754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101940.26490000001</v>
      </c>
      <c r="CJ221" s="399">
        <v>-13712.330999999976</v>
      </c>
      <c r="CK221" s="399"/>
      <c r="CL221" s="399"/>
      <c r="CM221" s="399"/>
      <c r="CN221" s="399"/>
      <c r="CO221" s="399">
        <v>-13713.030030000007</v>
      </c>
      <c r="CP221" s="399">
        <v>0</v>
      </c>
      <c r="CQ221" s="399">
        <v>30</v>
      </c>
      <c r="CR221" s="399">
        <v>-1056.8728561631797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-80.451191555759578</v>
      </c>
      <c r="DA221" s="399">
        <v>0</v>
      </c>
      <c r="DB221" s="399">
        <v>0</v>
      </c>
      <c r="DC221" s="399">
        <v>0</v>
      </c>
      <c r="DD221" s="399">
        <v>0</v>
      </c>
      <c r="DE221" s="399">
        <v>0</v>
      </c>
      <c r="DF221" s="399">
        <v>0</v>
      </c>
      <c r="DG221" s="399">
        <v>0</v>
      </c>
      <c r="DH221" s="399">
        <v>0</v>
      </c>
      <c r="DI221" s="399">
        <v>-839.41518372625978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-112.13216064673247</v>
      </c>
      <c r="DP221" s="399">
        <v>-24.874320234420225</v>
      </c>
      <c r="DQ221" s="399">
        <v>0</v>
      </c>
      <c r="DR221" s="399">
        <v>0</v>
      </c>
      <c r="DS221" s="399"/>
      <c r="DT221" s="399"/>
      <c r="DU221" s="399"/>
      <c r="DV221" s="399">
        <v>71223.711748714544</v>
      </c>
      <c r="DW221" s="399">
        <v>0</v>
      </c>
      <c r="DX221" s="399">
        <v>0</v>
      </c>
      <c r="DY221" s="399">
        <v>-13713.030029999994</v>
      </c>
      <c r="DZ221" s="399">
        <v>0</v>
      </c>
      <c r="EA221" s="399">
        <v>0</v>
      </c>
      <c r="EB221" s="399">
        <v>0</v>
      </c>
      <c r="EC221" s="399">
        <v>-12656.023945585694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229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220</v>
      </c>
      <c r="B222" s="399" t="s">
        <v>2339</v>
      </c>
      <c r="C222" s="399" t="s">
        <v>2336</v>
      </c>
      <c r="D222" s="399" t="s">
        <v>1822</v>
      </c>
      <c r="E222" s="399" t="s">
        <v>888</v>
      </c>
      <c r="F222" s="399" t="s">
        <v>1237</v>
      </c>
      <c r="G222" s="399" t="s">
        <v>1237</v>
      </c>
      <c r="H222" s="399" t="s">
        <v>1237</v>
      </c>
      <c r="I222" s="399" t="s">
        <v>1237</v>
      </c>
      <c r="J222" s="399" t="s">
        <v>2337</v>
      </c>
      <c r="K222" s="788">
        <v>44652</v>
      </c>
      <c r="L222" s="399">
        <v>0</v>
      </c>
      <c r="M222" s="399">
        <v>0</v>
      </c>
      <c r="N222" s="399">
        <v>0.2</v>
      </c>
      <c r="O222" s="399">
        <v>0.2</v>
      </c>
      <c r="P222" s="399">
        <v>0.2</v>
      </c>
      <c r="Q222" s="399">
        <v>0.2</v>
      </c>
      <c r="R222" s="399"/>
      <c r="S222" s="399">
        <v>707.13</v>
      </c>
      <c r="T222" s="399">
        <v>119.97</v>
      </c>
      <c r="U222" s="399"/>
      <c r="V222" s="399">
        <v>165.42000000000002</v>
      </c>
      <c r="W222" s="399">
        <v>165.42000000000002</v>
      </c>
      <c r="X222" s="399">
        <v>145.80599999999998</v>
      </c>
      <c r="Y222" s="399">
        <v>0</v>
      </c>
      <c r="Z222" s="399">
        <v>12.17897591562442</v>
      </c>
      <c r="AA222" s="399">
        <v>0</v>
      </c>
      <c r="AB222" s="399">
        <v>0</v>
      </c>
      <c r="AC222" s="399">
        <v>0</v>
      </c>
      <c r="AD222" s="399">
        <v>21.507842160419401</v>
      </c>
      <c r="AE222" s="399">
        <v>101.8725897327658</v>
      </c>
      <c r="AF222" s="399">
        <v>23.9947685147058</v>
      </c>
      <c r="AG222" s="399">
        <v>0</v>
      </c>
      <c r="AH222" s="399">
        <v>0</v>
      </c>
      <c r="AI222" s="399">
        <v>0</v>
      </c>
      <c r="AJ222" s="399">
        <v>0</v>
      </c>
      <c r="AK222" s="399">
        <v>0</v>
      </c>
      <c r="AL222" s="399">
        <v>1.8820451817713022</v>
      </c>
      <c r="AM222" s="399"/>
      <c r="AN222" s="399">
        <v>0.43025975024137009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3.5544827012862399</v>
      </c>
      <c r="BH222" s="399">
        <v>0</v>
      </c>
      <c r="BI222" s="399">
        <v>0</v>
      </c>
      <c r="BJ222" s="399">
        <v>0</v>
      </c>
      <c r="BK222" s="399">
        <v>915.71</v>
      </c>
      <c r="BL222" s="399">
        <v>2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27.54925121599204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145.80599999999998</v>
      </c>
      <c r="CJ222" s="399">
        <v>-19.644000000000005</v>
      </c>
      <c r="CK222" s="399"/>
      <c r="CL222" s="399"/>
      <c r="CM222" s="399"/>
      <c r="CN222" s="399"/>
      <c r="CO222" s="399">
        <v>-19.614000000000011</v>
      </c>
      <c r="CP222" s="399">
        <v>0</v>
      </c>
      <c r="CQ222" s="399">
        <v>30</v>
      </c>
      <c r="CR222" s="399">
        <v>-1.5116647564713617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-0.1150708244437979</v>
      </c>
      <c r="DA222" s="399">
        <v>0</v>
      </c>
      <c r="DB222" s="399">
        <v>0</v>
      </c>
      <c r="DC222" s="399">
        <v>0</v>
      </c>
      <c r="DD222" s="399">
        <v>0</v>
      </c>
      <c r="DE222" s="399">
        <v>0</v>
      </c>
      <c r="DF222" s="399">
        <v>0</v>
      </c>
      <c r="DG222" s="399">
        <v>0</v>
      </c>
      <c r="DH222" s="399">
        <v>0</v>
      </c>
      <c r="DI222" s="399">
        <v>-1.2006310332280989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-0.16038469937814415</v>
      </c>
      <c r="DP222" s="399">
        <v>-3.5578199421322065E-2</v>
      </c>
      <c r="DQ222" s="399">
        <v>0</v>
      </c>
      <c r="DR222" s="399">
        <v>0</v>
      </c>
      <c r="DS222" s="399"/>
      <c r="DT222" s="399"/>
      <c r="DU222" s="399"/>
      <c r="DV222" s="399">
        <v>101.8725897327658</v>
      </c>
      <c r="DW222" s="399">
        <v>0</v>
      </c>
      <c r="DX222" s="399">
        <v>0</v>
      </c>
      <c r="DY222" s="399">
        <v>-19.614000000000019</v>
      </c>
      <c r="DZ222" s="399">
        <v>0</v>
      </c>
      <c r="EA222" s="399">
        <v>0</v>
      </c>
      <c r="EB222" s="399">
        <v>0</v>
      </c>
      <c r="EC222" s="399">
        <v>-18.102144684701599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0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229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221</v>
      </c>
      <c r="B223" s="399" t="s">
        <v>954</v>
      </c>
      <c r="C223" s="399" t="s">
        <v>2344</v>
      </c>
      <c r="D223" s="399" t="s">
        <v>533</v>
      </c>
      <c r="E223" s="399" t="s">
        <v>888</v>
      </c>
      <c r="F223" s="399" t="s">
        <v>1237</v>
      </c>
      <c r="G223" s="399" t="s">
        <v>1237</v>
      </c>
      <c r="H223" s="399" t="s">
        <v>1237</v>
      </c>
      <c r="I223" s="399" t="s">
        <v>891</v>
      </c>
      <c r="J223" s="399" t="s">
        <v>2337</v>
      </c>
      <c r="K223" s="788">
        <v>44652</v>
      </c>
      <c r="L223" s="399">
        <v>0</v>
      </c>
      <c r="M223" s="399">
        <v>0</v>
      </c>
      <c r="N223" s="399">
        <v>90.576999999999998</v>
      </c>
      <c r="O223" s="399">
        <v>90.576999999999998</v>
      </c>
      <c r="P223" s="399">
        <v>90.576999999999998</v>
      </c>
      <c r="Q223" s="399">
        <v>90.576999999999998</v>
      </c>
      <c r="R223" s="399"/>
      <c r="S223" s="399">
        <v>3312.96</v>
      </c>
      <c r="T223" s="399">
        <v>119.97</v>
      </c>
      <c r="U223" s="399"/>
      <c r="V223" s="399">
        <v>310944.50060999999</v>
      </c>
      <c r="W223" s="399">
        <v>310944.50060999999</v>
      </c>
      <c r="X223" s="399">
        <v>269902.25037000002</v>
      </c>
      <c r="Y223" s="399">
        <v>0</v>
      </c>
      <c r="Z223" s="399">
        <v>4798.6376915663795</v>
      </c>
      <c r="AA223" s="399">
        <v>0</v>
      </c>
      <c r="AB223" s="399">
        <v>0</v>
      </c>
      <c r="AC223" s="399">
        <v>0</v>
      </c>
      <c r="AD223" s="399">
        <v>67718.898109738817</v>
      </c>
      <c r="AE223" s="399">
        <v>225825.74407506877</v>
      </c>
      <c r="AF223" s="399">
        <v>10866.870738782536</v>
      </c>
      <c r="AG223" s="399">
        <v>0</v>
      </c>
      <c r="AH223" s="399">
        <v>0</v>
      </c>
      <c r="AI223" s="399">
        <v>0</v>
      </c>
      <c r="AJ223" s="399">
        <v>0</v>
      </c>
      <c r="AK223" s="399">
        <v>0</v>
      </c>
      <c r="AL223" s="399">
        <v>852.35003214649612</v>
      </c>
      <c r="AM223" s="399"/>
      <c r="AN223" s="399">
        <v>76.150981689466008</v>
      </c>
      <c r="AO223" s="399">
        <v>0</v>
      </c>
      <c r="AP223" s="399">
        <v>0</v>
      </c>
      <c r="AQ223" s="399">
        <v>0</v>
      </c>
      <c r="AR223" s="399">
        <v>0</v>
      </c>
      <c r="AS223" s="399">
        <v>0</v>
      </c>
      <c r="AT223" s="399">
        <v>0</v>
      </c>
      <c r="AU223" s="399">
        <v>0</v>
      </c>
      <c r="AV223" s="399">
        <v>0</v>
      </c>
      <c r="AW223" s="399">
        <v>0</v>
      </c>
      <c r="AX223" s="399">
        <v>0</v>
      </c>
      <c r="AY223" s="399">
        <v>0</v>
      </c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>
        <v>0</v>
      </c>
      <c r="BG223" s="399">
        <v>806.48378639468615</v>
      </c>
      <c r="BH223" s="399">
        <v>0</v>
      </c>
      <c r="BI223" s="399">
        <v>0</v>
      </c>
      <c r="BJ223" s="399">
        <v>0</v>
      </c>
      <c r="BK223" s="399">
        <v>0</v>
      </c>
      <c r="BL223" s="399">
        <v>0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>
        <v>11673.354525177223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269911.18979999999</v>
      </c>
      <c r="CJ223" s="399">
        <v>-41033.340810000023</v>
      </c>
      <c r="CK223" s="399"/>
      <c r="CL223" s="399"/>
      <c r="CM223" s="399"/>
      <c r="CN223" s="399"/>
      <c r="CO223" s="399">
        <v>-41042.250239999987</v>
      </c>
      <c r="CP223" s="399">
        <v>0</v>
      </c>
      <c r="CQ223" s="399">
        <v>30</v>
      </c>
      <c r="CR223" s="399">
        <v>-914.30161261907779</v>
      </c>
      <c r="CS223" s="399">
        <v>0</v>
      </c>
      <c r="CT223" s="399">
        <v>0</v>
      </c>
      <c r="CU223" s="399">
        <v>0</v>
      </c>
      <c r="CV223" s="399">
        <v>0</v>
      </c>
      <c r="CW223" s="399">
        <v>0</v>
      </c>
      <c r="CX223" s="399">
        <v>0</v>
      </c>
      <c r="CY223" s="399">
        <v>0</v>
      </c>
      <c r="CZ223" s="399">
        <v>-362.30828633562487</v>
      </c>
      <c r="DA223" s="399">
        <v>0</v>
      </c>
      <c r="DB223" s="399">
        <v>0</v>
      </c>
      <c r="DC223" s="399">
        <v>0</v>
      </c>
      <c r="DD223" s="399">
        <v>0</v>
      </c>
      <c r="DE223" s="399">
        <v>0</v>
      </c>
      <c r="DF223" s="399">
        <v>0</v>
      </c>
      <c r="DG223" s="399">
        <v>0</v>
      </c>
      <c r="DH223" s="399">
        <v>0</v>
      </c>
      <c r="DI223" s="399">
        <v>-473.06057337064885</v>
      </c>
      <c r="DJ223" s="399"/>
      <c r="DK223" s="399">
        <v>0</v>
      </c>
      <c r="DL223" s="399">
        <v>0</v>
      </c>
      <c r="DM223" s="399">
        <v>0</v>
      </c>
      <c r="DN223" s="399">
        <v>0</v>
      </c>
      <c r="DO223" s="399">
        <v>-72.635824577870835</v>
      </c>
      <c r="DP223" s="399">
        <v>-6.2969283349356573</v>
      </c>
      <c r="DQ223" s="399">
        <v>0</v>
      </c>
      <c r="DR223" s="399">
        <v>0</v>
      </c>
      <c r="DS223" s="399"/>
      <c r="DT223" s="399"/>
      <c r="DU223" s="399"/>
      <c r="DV223" s="399">
        <v>225825.74407506877</v>
      </c>
      <c r="DW223" s="399">
        <v>0</v>
      </c>
      <c r="DX223" s="399">
        <v>0</v>
      </c>
      <c r="DY223" s="399">
        <v>-41042.250239999965</v>
      </c>
      <c r="DZ223" s="399">
        <v>0</v>
      </c>
      <c r="EA223" s="399">
        <v>0</v>
      </c>
      <c r="EB223" s="399">
        <v>0</v>
      </c>
      <c r="EC223" s="399">
        <v>-40127.872507224994</v>
      </c>
      <c r="ED223" s="399">
        <v>0</v>
      </c>
      <c r="EE223" s="399">
        <v>0</v>
      </c>
      <c r="EF223" s="399">
        <v>0</v>
      </c>
      <c r="EG223" s="399">
        <v>0</v>
      </c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>
        <v>0</v>
      </c>
      <c r="EN223" s="399">
        <v>0</v>
      </c>
      <c r="EO223" s="399">
        <v>0</v>
      </c>
      <c r="EP223" s="399">
        <v>0</v>
      </c>
      <c r="EQ223" s="399">
        <v>0</v>
      </c>
      <c r="ER223" s="399">
        <v>0</v>
      </c>
      <c r="ES223" s="399">
        <v>0</v>
      </c>
      <c r="ET223" s="399">
        <v>0</v>
      </c>
      <c r="EU223" s="399">
        <v>0</v>
      </c>
      <c r="EV223" s="399">
        <v>229</v>
      </c>
      <c r="EW223" s="399">
        <v>0</v>
      </c>
      <c r="EX223" s="399">
        <v>0</v>
      </c>
      <c r="EY223" s="399">
        <v>0</v>
      </c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222</v>
      </c>
      <c r="B224" s="399" t="s">
        <v>2338</v>
      </c>
      <c r="C224" s="399" t="s">
        <v>2344</v>
      </c>
      <c r="D224" s="399" t="s">
        <v>533</v>
      </c>
      <c r="E224" s="399" t="s">
        <v>888</v>
      </c>
      <c r="F224" s="399" t="s">
        <v>1237</v>
      </c>
      <c r="G224" s="399" t="s">
        <v>1237</v>
      </c>
      <c r="H224" s="399" t="s">
        <v>1237</v>
      </c>
      <c r="I224" s="399" t="s">
        <v>891</v>
      </c>
      <c r="J224" s="399" t="s">
        <v>2337</v>
      </c>
      <c r="K224" s="788">
        <v>44652</v>
      </c>
      <c r="L224" s="399">
        <v>0</v>
      </c>
      <c r="M224" s="399">
        <v>0</v>
      </c>
      <c r="N224" s="399">
        <v>-2.9020000000000001</v>
      </c>
      <c r="O224" s="399">
        <v>-2.9020000000000001</v>
      </c>
      <c r="P224" s="399">
        <v>-2.9020000000000001</v>
      </c>
      <c r="Q224" s="399">
        <v>-2.9020000000000001</v>
      </c>
      <c r="R224" s="399"/>
      <c r="S224" s="399">
        <v>3312.96</v>
      </c>
      <c r="T224" s="399">
        <v>119.97</v>
      </c>
      <c r="U224" s="399"/>
      <c r="V224" s="399">
        <v>-9962.3628600000011</v>
      </c>
      <c r="W224" s="399">
        <v>-9962.3628600000011</v>
      </c>
      <c r="X224" s="399">
        <v>-8647.4086200000002</v>
      </c>
      <c r="Y224" s="399">
        <v>0</v>
      </c>
      <c r="Z224" s="399">
        <v>-153.74373826606791</v>
      </c>
      <c r="AA224" s="399">
        <v>0</v>
      </c>
      <c r="AB224" s="399">
        <v>0</v>
      </c>
      <c r="AC224" s="399">
        <v>0</v>
      </c>
      <c r="AD224" s="399">
        <v>-2169.648391031521</v>
      </c>
      <c r="AE224" s="399">
        <v>-7235.2397331093944</v>
      </c>
      <c r="AF224" s="399">
        <v>-348.16409114838115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-27.308475587501594</v>
      </c>
      <c r="AM224" s="399"/>
      <c r="AN224" s="399">
        <v>-2.4398042423885795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-25.838965169053729</v>
      </c>
      <c r="BH224" s="399">
        <v>0</v>
      </c>
      <c r="BI224" s="399">
        <v>0</v>
      </c>
      <c r="BJ224" s="399">
        <v>0</v>
      </c>
      <c r="BK224" s="399">
        <v>0</v>
      </c>
      <c r="BL224" s="399">
        <v>0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-374.00305631743487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-8641.4490000000005</v>
      </c>
      <c r="CJ224" s="399">
        <v>1320.8838599999999</v>
      </c>
      <c r="CK224" s="399"/>
      <c r="CL224" s="399"/>
      <c r="CM224" s="399"/>
      <c r="CN224" s="399"/>
      <c r="CO224" s="399">
        <v>1314.9542399999998</v>
      </c>
      <c r="CP224" s="399">
        <v>0</v>
      </c>
      <c r="CQ224" s="399">
        <v>30</v>
      </c>
      <c r="CR224" s="399">
        <v>29.293344666092253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11.608009173918617</v>
      </c>
      <c r="DA224" s="399">
        <v>0</v>
      </c>
      <c r="DB224" s="399">
        <v>0</v>
      </c>
      <c r="DC224" s="399">
        <v>0</v>
      </c>
      <c r="DD224" s="399">
        <v>0</v>
      </c>
      <c r="DE224" s="399">
        <v>0</v>
      </c>
      <c r="DF224" s="399">
        <v>0</v>
      </c>
      <c r="DG224" s="399">
        <v>0</v>
      </c>
      <c r="DH224" s="399">
        <v>0</v>
      </c>
      <c r="DI224" s="399">
        <v>15.156405974161459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2.3271819879768714</v>
      </c>
      <c r="DP224" s="399">
        <v>0.20174753003503376</v>
      </c>
      <c r="DQ224" s="399">
        <v>0</v>
      </c>
      <c r="DR224" s="399">
        <v>0</v>
      </c>
      <c r="DS224" s="399"/>
      <c r="DT224" s="399"/>
      <c r="DU224" s="399"/>
      <c r="DV224" s="399">
        <v>-7235.2397331093944</v>
      </c>
      <c r="DW224" s="399">
        <v>0</v>
      </c>
      <c r="DX224" s="399">
        <v>0</v>
      </c>
      <c r="DY224" s="399">
        <v>1314.9542400000009</v>
      </c>
      <c r="DZ224" s="399">
        <v>0</v>
      </c>
      <c r="EA224" s="399">
        <v>0</v>
      </c>
      <c r="EB224" s="399">
        <v>0</v>
      </c>
      <c r="EC224" s="399">
        <v>1285.6584565172943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229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223</v>
      </c>
      <c r="B225" s="399" t="s">
        <v>2339</v>
      </c>
      <c r="C225" s="399" t="s">
        <v>2344</v>
      </c>
      <c r="D225" s="399" t="s">
        <v>533</v>
      </c>
      <c r="E225" s="399" t="s">
        <v>888</v>
      </c>
      <c r="F225" s="399" t="s">
        <v>1237</v>
      </c>
      <c r="G225" s="399" t="s">
        <v>1237</v>
      </c>
      <c r="H225" s="399" t="s">
        <v>1237</v>
      </c>
      <c r="I225" s="399" t="s">
        <v>891</v>
      </c>
      <c r="J225" s="399" t="s">
        <v>2337</v>
      </c>
      <c r="K225" s="788">
        <v>44652</v>
      </c>
      <c r="L225" s="399">
        <v>0</v>
      </c>
      <c r="M225" s="399">
        <v>0</v>
      </c>
      <c r="N225" s="399">
        <v>2.6850000000000001</v>
      </c>
      <c r="O225" s="399">
        <v>2.6850000000000001</v>
      </c>
      <c r="P225" s="399">
        <v>2.6850000000000001</v>
      </c>
      <c r="Q225" s="399">
        <v>2.6850000000000001</v>
      </c>
      <c r="R225" s="399"/>
      <c r="S225" s="399">
        <v>3312.96</v>
      </c>
      <c r="T225" s="399">
        <v>119.97</v>
      </c>
      <c r="U225" s="399"/>
      <c r="V225" s="399">
        <v>9217.41705</v>
      </c>
      <c r="W225" s="399">
        <v>9217.41705</v>
      </c>
      <c r="X225" s="399">
        <v>8000.789850000001</v>
      </c>
      <c r="Y225" s="399">
        <v>0</v>
      </c>
      <c r="Z225" s="399">
        <v>142.24739395051424</v>
      </c>
      <c r="AA225" s="399">
        <v>0</v>
      </c>
      <c r="AB225" s="399">
        <v>0</v>
      </c>
      <c r="AC225" s="399">
        <v>0</v>
      </c>
      <c r="AD225" s="399">
        <v>2007.4107270570757</v>
      </c>
      <c r="AE225" s="399">
        <v>6694.2173271532465</v>
      </c>
      <c r="AF225" s="399">
        <v>322.12976730992534</v>
      </c>
      <c r="AG225" s="399">
        <v>0</v>
      </c>
      <c r="AH225" s="399">
        <v>0</v>
      </c>
      <c r="AI225" s="399">
        <v>0</v>
      </c>
      <c r="AJ225" s="399">
        <v>0</v>
      </c>
      <c r="AK225" s="399">
        <v>0</v>
      </c>
      <c r="AL225" s="399">
        <v>25.266456565279732</v>
      </c>
      <c r="AM225" s="399"/>
      <c r="AN225" s="399">
        <v>2.2573654000045957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23.90683028218789</v>
      </c>
      <c r="BH225" s="399">
        <v>0</v>
      </c>
      <c r="BI225" s="399">
        <v>0</v>
      </c>
      <c r="BJ225" s="399">
        <v>0</v>
      </c>
      <c r="BK225" s="399">
        <v>0</v>
      </c>
      <c r="BL225" s="399">
        <v>0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>
        <v>346.03659759211325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8015.6889000000001</v>
      </c>
      <c r="CJ225" s="399">
        <v>-1201.7581500000006</v>
      </c>
      <c r="CK225" s="399"/>
      <c r="CL225" s="399"/>
      <c r="CM225" s="399"/>
      <c r="CN225" s="399"/>
      <c r="CO225" s="399">
        <v>-1216.6271999999997</v>
      </c>
      <c r="CP225" s="399">
        <v>0</v>
      </c>
      <c r="CQ225" s="399">
        <v>30</v>
      </c>
      <c r="CR225" s="399">
        <v>-27.102905040819678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-10.740008487929344</v>
      </c>
      <c r="DA225" s="399">
        <v>0</v>
      </c>
      <c r="DB225" s="399">
        <v>0</v>
      </c>
      <c r="DC225" s="399">
        <v>0</v>
      </c>
      <c r="DD225" s="399">
        <v>0</v>
      </c>
      <c r="DE225" s="399">
        <v>0</v>
      </c>
      <c r="DF225" s="399">
        <v>0</v>
      </c>
      <c r="DG225" s="399">
        <v>0</v>
      </c>
      <c r="DH225" s="399">
        <v>0</v>
      </c>
      <c r="DI225" s="399">
        <v>-14.023070310345787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-2.1531645891515865</v>
      </c>
      <c r="DP225" s="399">
        <v>-0.18666165339216656</v>
      </c>
      <c r="DQ225" s="399">
        <v>0</v>
      </c>
      <c r="DR225" s="399">
        <v>0</v>
      </c>
      <c r="DS225" s="399"/>
      <c r="DT225" s="399"/>
      <c r="DU225" s="399"/>
      <c r="DV225" s="399">
        <v>6694.2173271532465</v>
      </c>
      <c r="DW225" s="399">
        <v>0</v>
      </c>
      <c r="DX225" s="399">
        <v>0</v>
      </c>
      <c r="DY225" s="399">
        <v>-1216.627199999999</v>
      </c>
      <c r="DZ225" s="399">
        <v>0</v>
      </c>
      <c r="EA225" s="399">
        <v>0</v>
      </c>
      <c r="EB225" s="399">
        <v>0</v>
      </c>
      <c r="EC225" s="399">
        <v>-1189.5220385075581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229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224</v>
      </c>
      <c r="B226" s="399" t="s">
        <v>954</v>
      </c>
      <c r="C226" s="399" t="s">
        <v>2344</v>
      </c>
      <c r="D226" s="399" t="s">
        <v>533</v>
      </c>
      <c r="E226" s="399" t="s">
        <v>888</v>
      </c>
      <c r="F226" s="399" t="s">
        <v>1237</v>
      </c>
      <c r="G226" s="399" t="s">
        <v>1237</v>
      </c>
      <c r="H226" s="399" t="s">
        <v>1237</v>
      </c>
      <c r="I226" s="399" t="s">
        <v>2322</v>
      </c>
      <c r="J226" s="399" t="s">
        <v>2337</v>
      </c>
      <c r="K226" s="788">
        <v>44652</v>
      </c>
      <c r="L226" s="399">
        <v>0</v>
      </c>
      <c r="M226" s="399">
        <v>0</v>
      </c>
      <c r="N226" s="399">
        <v>2329.02</v>
      </c>
      <c r="O226" s="399">
        <v>2329.02</v>
      </c>
      <c r="P226" s="399">
        <v>2329.02</v>
      </c>
      <c r="Q226" s="399">
        <v>2329.02</v>
      </c>
      <c r="R226" s="399"/>
      <c r="S226" s="399">
        <v>72.13</v>
      </c>
      <c r="T226" s="399">
        <v>119.97</v>
      </c>
      <c r="U226" s="399"/>
      <c r="V226" s="399">
        <v>447404.74199999997</v>
      </c>
      <c r="W226" s="399">
        <v>447404.74199999997</v>
      </c>
      <c r="X226" s="399">
        <v>433221.01020000002</v>
      </c>
      <c r="Y226" s="399">
        <v>0</v>
      </c>
      <c r="Z226" s="399">
        <v>123388.09141848293</v>
      </c>
      <c r="AA226" s="399">
        <v>0</v>
      </c>
      <c r="AB226" s="399">
        <v>0</v>
      </c>
      <c r="AC226" s="399">
        <v>0</v>
      </c>
      <c r="AD226" s="399">
        <v>0</v>
      </c>
      <c r="AE226" s="399">
        <v>0</v>
      </c>
      <c r="AF226" s="399">
        <v>279421.47883060051</v>
      </c>
      <c r="AG226" s="399">
        <v>0</v>
      </c>
      <c r="AH226" s="399">
        <v>0</v>
      </c>
      <c r="AI226" s="399">
        <v>0</v>
      </c>
      <c r="AJ226" s="399">
        <v>0</v>
      </c>
      <c r="AK226" s="399">
        <v>0</v>
      </c>
      <c r="AL226" s="399">
        <v>21916.604346244989</v>
      </c>
      <c r="AM226" s="399"/>
      <c r="AN226" s="399">
        <v>1958.0816252956063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20737.238682987427</v>
      </c>
      <c r="BH226" s="399">
        <v>0</v>
      </c>
      <c r="BI226" s="399">
        <v>0</v>
      </c>
      <c r="BJ226" s="399">
        <v>0</v>
      </c>
      <c r="BK226" s="399">
        <v>0</v>
      </c>
      <c r="BL226" s="399">
        <v>0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>
        <v>300158.71751358791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433221.01020000002</v>
      </c>
      <c r="CJ226" s="399">
        <v>-14183.761799999978</v>
      </c>
      <c r="CK226" s="399"/>
      <c r="CL226" s="399"/>
      <c r="CM226" s="399"/>
      <c r="CN226" s="399"/>
      <c r="CO226" s="399">
        <v>-14183.731799999974</v>
      </c>
      <c r="CP226" s="399">
        <v>0</v>
      </c>
      <c r="CQ226" s="399">
        <v>30</v>
      </c>
      <c r="CR226" s="399">
        <v>-14193.487273598148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0</v>
      </c>
      <c r="DA226" s="399">
        <v>0</v>
      </c>
      <c r="DB226" s="399">
        <v>0</v>
      </c>
      <c r="DC226" s="399">
        <v>0</v>
      </c>
      <c r="DD226" s="399">
        <v>0</v>
      </c>
      <c r="DE226" s="399">
        <v>0</v>
      </c>
      <c r="DF226" s="399">
        <v>0</v>
      </c>
      <c r="DG226" s="399">
        <v>0</v>
      </c>
      <c r="DH226" s="399">
        <v>0</v>
      </c>
      <c r="DI226" s="399">
        <v>-12163.877547188662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-1867.6958627284257</v>
      </c>
      <c r="DP226" s="399">
        <v>-161.91386368097687</v>
      </c>
      <c r="DQ226" s="399">
        <v>0</v>
      </c>
      <c r="DR226" s="399">
        <v>0</v>
      </c>
      <c r="DS226" s="399"/>
      <c r="DT226" s="399"/>
      <c r="DU226" s="399"/>
      <c r="DV226" s="399">
        <v>0</v>
      </c>
      <c r="DW226" s="399">
        <v>0</v>
      </c>
      <c r="DX226" s="399">
        <v>0</v>
      </c>
      <c r="DY226" s="399">
        <v>-14183.73179999998</v>
      </c>
      <c r="DZ226" s="399">
        <v>0</v>
      </c>
      <c r="EA226" s="399">
        <v>0</v>
      </c>
      <c r="EB226" s="399">
        <v>0</v>
      </c>
      <c r="EC226" s="399">
        <v>0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0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229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225</v>
      </c>
      <c r="B227" s="399" t="s">
        <v>2338</v>
      </c>
      <c r="C227" s="399" t="s">
        <v>2344</v>
      </c>
      <c r="D227" s="399" t="s">
        <v>533</v>
      </c>
      <c r="E227" s="399" t="s">
        <v>888</v>
      </c>
      <c r="F227" s="399" t="s">
        <v>1237</v>
      </c>
      <c r="G227" s="399" t="s">
        <v>1237</v>
      </c>
      <c r="H227" s="399" t="s">
        <v>1237</v>
      </c>
      <c r="I227" s="399" t="s">
        <v>2322</v>
      </c>
      <c r="J227" s="399" t="s">
        <v>2337</v>
      </c>
      <c r="K227" s="788">
        <v>44652</v>
      </c>
      <c r="L227" s="399">
        <v>0</v>
      </c>
      <c r="M227" s="399">
        <v>0</v>
      </c>
      <c r="N227" s="399">
        <v>2.8639999999999999</v>
      </c>
      <c r="O227" s="399">
        <v>2.8639999999999999</v>
      </c>
      <c r="P227" s="399">
        <v>2.8639999999999999</v>
      </c>
      <c r="Q227" s="399">
        <v>2.8639999999999999</v>
      </c>
      <c r="R227" s="399"/>
      <c r="S227" s="399">
        <v>72.13</v>
      </c>
      <c r="T227" s="399">
        <v>119.97</v>
      </c>
      <c r="U227" s="399"/>
      <c r="V227" s="399">
        <v>550.17439999999988</v>
      </c>
      <c r="W227" s="399">
        <v>550.17439999999988</v>
      </c>
      <c r="X227" s="399">
        <v>532.73263999999995</v>
      </c>
      <c r="Y227" s="399">
        <v>0</v>
      </c>
      <c r="Z227" s="399">
        <v>151.73055354721518</v>
      </c>
      <c r="AA227" s="399">
        <v>0</v>
      </c>
      <c r="AB227" s="399">
        <v>0</v>
      </c>
      <c r="AC227" s="399">
        <v>0</v>
      </c>
      <c r="AD227" s="399">
        <v>0</v>
      </c>
      <c r="AE227" s="399">
        <v>0</v>
      </c>
      <c r="AF227" s="399">
        <v>343.60508513058704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26.950887002965047</v>
      </c>
      <c r="AM227" s="399"/>
      <c r="AN227" s="399">
        <v>2.4078564266715685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25.50061896766708</v>
      </c>
      <c r="BH227" s="399">
        <v>0</v>
      </c>
      <c r="BI227" s="399">
        <v>0</v>
      </c>
      <c r="BJ227" s="399">
        <v>0</v>
      </c>
      <c r="BK227" s="399">
        <v>0</v>
      </c>
      <c r="BL227" s="399">
        <v>0</v>
      </c>
      <c r="BM227" s="399"/>
      <c r="BN227" s="399"/>
      <c r="BO227" s="399"/>
      <c r="BP227" s="399"/>
      <c r="BQ227" s="399"/>
      <c r="BR227" s="399"/>
      <c r="BS227" s="399"/>
      <c r="BT227" s="399"/>
      <c r="BU227" s="399"/>
      <c r="BV227" s="399">
        <v>369.10570409825414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531.98860000000002</v>
      </c>
      <c r="CJ227" s="399">
        <v>-18.215799999999831</v>
      </c>
      <c r="CK227" s="399"/>
      <c r="CL227" s="399"/>
      <c r="CM227" s="399"/>
      <c r="CN227" s="399"/>
      <c r="CO227" s="399">
        <v>-17.441759999999967</v>
      </c>
      <c r="CP227" s="399">
        <v>0</v>
      </c>
      <c r="CQ227" s="399">
        <v>30</v>
      </c>
      <c r="CR227" s="399">
        <v>-17.453756323082075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0</v>
      </c>
      <c r="DA227" s="399">
        <v>0</v>
      </c>
      <c r="DB227" s="399">
        <v>0</v>
      </c>
      <c r="DC227" s="399">
        <v>0</v>
      </c>
      <c r="DD227" s="399">
        <v>0</v>
      </c>
      <c r="DE227" s="399">
        <v>0</v>
      </c>
      <c r="DF227" s="399">
        <v>0</v>
      </c>
      <c r="DG227" s="399">
        <v>0</v>
      </c>
      <c r="DH227" s="399">
        <v>0</v>
      </c>
      <c r="DI227" s="399">
        <v>-14.95794166436886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-2.2967088950950263</v>
      </c>
      <c r="DP227" s="399">
        <v>-0.19910576361831067</v>
      </c>
      <c r="DQ227" s="399">
        <v>0</v>
      </c>
      <c r="DR227" s="399">
        <v>0</v>
      </c>
      <c r="DS227" s="399"/>
      <c r="DT227" s="399"/>
      <c r="DU227" s="399"/>
      <c r="DV227" s="399">
        <v>0</v>
      </c>
      <c r="DW227" s="399">
        <v>0</v>
      </c>
      <c r="DX227" s="399">
        <v>0</v>
      </c>
      <c r="DY227" s="399">
        <v>-17.44175999999996</v>
      </c>
      <c r="DZ227" s="399">
        <v>0</v>
      </c>
      <c r="EA227" s="399">
        <v>0</v>
      </c>
      <c r="EB227" s="399">
        <v>0</v>
      </c>
      <c r="EC227" s="399">
        <v>0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229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226</v>
      </c>
      <c r="B228" s="399" t="s">
        <v>2339</v>
      </c>
      <c r="C228" s="399" t="s">
        <v>2344</v>
      </c>
      <c r="D228" s="399" t="s">
        <v>533</v>
      </c>
      <c r="E228" s="399" t="s">
        <v>888</v>
      </c>
      <c r="F228" s="399" t="s">
        <v>1237</v>
      </c>
      <c r="G228" s="399" t="s">
        <v>1237</v>
      </c>
      <c r="H228" s="399" t="s">
        <v>1237</v>
      </c>
      <c r="I228" s="399" t="s">
        <v>2322</v>
      </c>
      <c r="J228" s="399" t="s">
        <v>2337</v>
      </c>
      <c r="K228" s="788">
        <v>44652</v>
      </c>
      <c r="L228" s="399">
        <v>0</v>
      </c>
      <c r="M228" s="399">
        <v>0</v>
      </c>
      <c r="N228" s="399">
        <v>15.51</v>
      </c>
      <c r="O228" s="399">
        <v>15.51</v>
      </c>
      <c r="P228" s="399">
        <v>15.51</v>
      </c>
      <c r="Q228" s="399">
        <v>15.51</v>
      </c>
      <c r="R228" s="399"/>
      <c r="S228" s="399">
        <v>72.13</v>
      </c>
      <c r="T228" s="399">
        <v>119.97</v>
      </c>
      <c r="U228" s="399"/>
      <c r="V228" s="399">
        <v>2979.4709999999995</v>
      </c>
      <c r="W228" s="399">
        <v>2979.4709999999995</v>
      </c>
      <c r="X228" s="399">
        <v>2885.0151000000001</v>
      </c>
      <c r="Y228" s="399">
        <v>0</v>
      </c>
      <c r="Z228" s="399">
        <v>821.69723656330575</v>
      </c>
      <c r="AA228" s="399">
        <v>0</v>
      </c>
      <c r="AB228" s="399">
        <v>0</v>
      </c>
      <c r="AC228" s="399">
        <v>0</v>
      </c>
      <c r="AD228" s="399">
        <v>0</v>
      </c>
      <c r="AE228" s="399">
        <v>0</v>
      </c>
      <c r="AF228" s="399">
        <v>1860.7942983154348</v>
      </c>
      <c r="AG228" s="399">
        <v>0</v>
      </c>
      <c r="AH228" s="399">
        <v>0</v>
      </c>
      <c r="AI228" s="399">
        <v>0</v>
      </c>
      <c r="AJ228" s="399">
        <v>0</v>
      </c>
      <c r="AK228" s="399">
        <v>0</v>
      </c>
      <c r="AL228" s="399">
        <v>145.95260384636447</v>
      </c>
      <c r="AM228" s="399"/>
      <c r="AN228" s="399">
        <v>13.03975320449582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138.09867325018033</v>
      </c>
      <c r="BH228" s="399">
        <v>0</v>
      </c>
      <c r="BI228" s="399">
        <v>0</v>
      </c>
      <c r="BJ228" s="399">
        <v>0</v>
      </c>
      <c r="BK228" s="399">
        <v>0</v>
      </c>
      <c r="BL228" s="399">
        <v>0</v>
      </c>
      <c r="BM228" s="399"/>
      <c r="BN228" s="399"/>
      <c r="BO228" s="399"/>
      <c r="BP228" s="399"/>
      <c r="BQ228" s="399"/>
      <c r="BR228" s="399"/>
      <c r="BS228" s="399"/>
      <c r="BT228" s="399"/>
      <c r="BU228" s="399"/>
      <c r="BV228" s="399">
        <v>1998.8929715656152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2885.0151000000001</v>
      </c>
      <c r="CJ228" s="399">
        <v>-94.485900000000129</v>
      </c>
      <c r="CK228" s="399"/>
      <c r="CL228" s="399"/>
      <c r="CM228" s="399"/>
      <c r="CN228" s="399"/>
      <c r="CO228" s="399">
        <v>-94.455899999999829</v>
      </c>
      <c r="CP228" s="399">
        <v>0</v>
      </c>
      <c r="CQ228" s="399">
        <v>30</v>
      </c>
      <c r="CR228" s="399">
        <v>-94.520866121161362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0</v>
      </c>
      <c r="DA228" s="399">
        <v>0</v>
      </c>
      <c r="DB228" s="399">
        <v>0</v>
      </c>
      <c r="DC228" s="399">
        <v>0</v>
      </c>
      <c r="DD228" s="399">
        <v>0</v>
      </c>
      <c r="DE228" s="399">
        <v>0</v>
      </c>
      <c r="DF228" s="399">
        <v>0</v>
      </c>
      <c r="DG228" s="399">
        <v>0</v>
      </c>
      <c r="DH228" s="399">
        <v>0</v>
      </c>
      <c r="DI228" s="399">
        <v>-81.004774865349532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-12.437833436775065</v>
      </c>
      <c r="DP228" s="399">
        <v>-1.0782578190363132</v>
      </c>
      <c r="DQ228" s="399">
        <v>0</v>
      </c>
      <c r="DR228" s="399">
        <v>0</v>
      </c>
      <c r="DS228" s="399"/>
      <c r="DT228" s="399"/>
      <c r="DU228" s="399"/>
      <c r="DV228" s="399">
        <v>0</v>
      </c>
      <c r="DW228" s="399">
        <v>0</v>
      </c>
      <c r="DX228" s="399">
        <v>0</v>
      </c>
      <c r="DY228" s="399">
        <v>-94.455899999999701</v>
      </c>
      <c r="DZ228" s="399">
        <v>0</v>
      </c>
      <c r="EA228" s="399">
        <v>0</v>
      </c>
      <c r="EB228" s="399">
        <v>0</v>
      </c>
      <c r="EC228" s="399">
        <v>0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229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227</v>
      </c>
      <c r="B229" s="399" t="s">
        <v>954</v>
      </c>
      <c r="C229" s="399" t="s">
        <v>2344</v>
      </c>
      <c r="D229" s="399" t="s">
        <v>533</v>
      </c>
      <c r="E229" s="399" t="s">
        <v>888</v>
      </c>
      <c r="F229" s="399" t="s">
        <v>1237</v>
      </c>
      <c r="G229" s="399" t="s">
        <v>1237</v>
      </c>
      <c r="H229" s="399" t="s">
        <v>1237</v>
      </c>
      <c r="I229" s="399" t="s">
        <v>1237</v>
      </c>
      <c r="J229" s="399" t="s">
        <v>2337</v>
      </c>
      <c r="K229" s="788">
        <v>44652</v>
      </c>
      <c r="L229" s="399">
        <v>10849</v>
      </c>
      <c r="M229" s="399">
        <v>10849</v>
      </c>
      <c r="N229" s="399">
        <v>0</v>
      </c>
      <c r="O229" s="399">
        <v>0</v>
      </c>
      <c r="P229" s="399">
        <v>0</v>
      </c>
      <c r="Q229" s="399">
        <v>0</v>
      </c>
      <c r="R229" s="399">
        <v>46.29</v>
      </c>
      <c r="S229" s="399"/>
      <c r="T229" s="399"/>
      <c r="U229" s="399">
        <v>502200.20999999996</v>
      </c>
      <c r="V229" s="399"/>
      <c r="W229" s="399">
        <v>502200.20999999996</v>
      </c>
      <c r="X229" s="399">
        <v>446436.35</v>
      </c>
      <c r="Y229" s="399">
        <v>0</v>
      </c>
      <c r="Z229" s="399">
        <v>0</v>
      </c>
      <c r="AA229" s="399">
        <v>0</v>
      </c>
      <c r="AB229" s="399">
        <v>0</v>
      </c>
      <c r="AC229" s="399">
        <v>0</v>
      </c>
      <c r="AD229" s="399">
        <v>194338.27124027401</v>
      </c>
      <c r="AE229" s="399">
        <v>307823.32372846798</v>
      </c>
      <c r="AF229" s="399"/>
      <c r="AG229" s="399"/>
      <c r="AH229" s="399"/>
      <c r="AI229" s="399">
        <v>0</v>
      </c>
      <c r="AJ229" s="399">
        <v>0</v>
      </c>
      <c r="AK229" s="399">
        <v>0</v>
      </c>
      <c r="AL229" s="399">
        <v>0</v>
      </c>
      <c r="AM229" s="399"/>
      <c r="AN229" s="399">
        <v>0</v>
      </c>
      <c r="AO229" s="399">
        <v>0</v>
      </c>
      <c r="AP229" s="399">
        <v>0</v>
      </c>
      <c r="AQ229" s="399">
        <v>0</v>
      </c>
      <c r="AR229" s="399">
        <v>0</v>
      </c>
      <c r="AS229" s="399"/>
      <c r="AT229" s="399"/>
      <c r="AU229" s="399">
        <v>0</v>
      </c>
      <c r="AV229" s="399">
        <v>0</v>
      </c>
      <c r="AW229" s="399">
        <v>0</v>
      </c>
      <c r="AX229" s="399"/>
      <c r="AY229" s="399"/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/>
      <c r="BG229" s="399">
        <v>0</v>
      </c>
      <c r="BH229" s="399">
        <v>0</v>
      </c>
      <c r="BI229" s="399">
        <v>0</v>
      </c>
      <c r="BJ229" s="399">
        <v>0</v>
      </c>
      <c r="BK229" s="399">
        <v>424743.85</v>
      </c>
      <c r="BL229" s="399">
        <v>26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>
        <v>0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446436.35</v>
      </c>
      <c r="CJ229" s="399">
        <v>-55763.890000000014</v>
      </c>
      <c r="CK229" s="399"/>
      <c r="CL229" s="399"/>
      <c r="CM229" s="399"/>
      <c r="CN229" s="399"/>
      <c r="CO229" s="399">
        <v>-55763.860000000008</v>
      </c>
      <c r="CP229" s="399">
        <v>0</v>
      </c>
      <c r="CQ229" s="399">
        <v>30</v>
      </c>
      <c r="CR229" s="399">
        <v>-1039.744709200837</v>
      </c>
      <c r="CS229" s="399">
        <v>0</v>
      </c>
      <c r="CT229" s="399">
        <v>0</v>
      </c>
      <c r="CU229" s="399">
        <v>0</v>
      </c>
      <c r="CV229" s="399">
        <v>0</v>
      </c>
      <c r="CW229" s="399"/>
      <c r="CX229" s="399"/>
      <c r="CY229" s="399"/>
      <c r="CZ229" s="399">
        <v>-1039.744709200837</v>
      </c>
      <c r="DA229" s="399">
        <v>0</v>
      </c>
      <c r="DB229" s="399">
        <v>0</v>
      </c>
      <c r="DC229" s="399"/>
      <c r="DD229" s="399"/>
      <c r="DE229" s="399">
        <v>0</v>
      </c>
      <c r="DF229" s="399">
        <v>0</v>
      </c>
      <c r="DG229" s="399">
        <v>0</v>
      </c>
      <c r="DH229" s="399">
        <v>0</v>
      </c>
      <c r="DI229" s="399">
        <v>0</v>
      </c>
      <c r="DJ229" s="399"/>
      <c r="DK229" s="399">
        <v>0</v>
      </c>
      <c r="DL229" s="399">
        <v>0</v>
      </c>
      <c r="DM229" s="399"/>
      <c r="DN229" s="399">
        <v>0</v>
      </c>
      <c r="DO229" s="399">
        <v>0</v>
      </c>
      <c r="DP229" s="399">
        <v>0</v>
      </c>
      <c r="DQ229" s="399">
        <v>0</v>
      </c>
      <c r="DR229" s="399">
        <v>0</v>
      </c>
      <c r="DS229" s="399"/>
      <c r="DT229" s="399"/>
      <c r="DU229" s="399">
        <v>307823.32372846798</v>
      </c>
      <c r="DV229" s="399"/>
      <c r="DW229" s="399">
        <v>0</v>
      </c>
      <c r="DX229" s="399">
        <v>0</v>
      </c>
      <c r="DY229" s="399">
        <v>-55763.859999999986</v>
      </c>
      <c r="DZ229" s="399"/>
      <c r="EA229" s="399">
        <v>0</v>
      </c>
      <c r="EB229" s="399"/>
      <c r="EC229" s="399">
        <v>-54698.347789879102</v>
      </c>
      <c r="ED229" s="399"/>
      <c r="EE229" s="399">
        <v>0</v>
      </c>
      <c r="EF229" s="399">
        <v>0</v>
      </c>
      <c r="EG229" s="399"/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/>
      <c r="EN229" s="399"/>
      <c r="EO229" s="399">
        <v>0</v>
      </c>
      <c r="EP229" s="399">
        <v>0</v>
      </c>
      <c r="EQ229" s="399"/>
      <c r="ER229" s="399">
        <v>0</v>
      </c>
      <c r="ES229" s="399"/>
      <c r="ET229" s="399">
        <v>0</v>
      </c>
      <c r="EU229" s="399"/>
      <c r="EV229" s="399">
        <v>229</v>
      </c>
      <c r="EW229" s="399"/>
      <c r="EX229" s="399"/>
      <c r="EY229" s="399"/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228</v>
      </c>
      <c r="B230" s="399" t="s">
        <v>2338</v>
      </c>
      <c r="C230" s="399" t="s">
        <v>2344</v>
      </c>
      <c r="D230" s="399" t="s">
        <v>533</v>
      </c>
      <c r="E230" s="399" t="s">
        <v>888</v>
      </c>
      <c r="F230" s="399" t="s">
        <v>1237</v>
      </c>
      <c r="G230" s="399" t="s">
        <v>1237</v>
      </c>
      <c r="H230" s="399" t="s">
        <v>1237</v>
      </c>
      <c r="I230" s="399" t="s">
        <v>1237</v>
      </c>
      <c r="J230" s="399" t="s">
        <v>2337</v>
      </c>
      <c r="K230" s="788">
        <v>44652</v>
      </c>
      <c r="L230" s="399">
        <v>0</v>
      </c>
      <c r="M230" s="399">
        <v>0</v>
      </c>
      <c r="N230" s="399">
        <v>0</v>
      </c>
      <c r="O230" s="399">
        <v>0</v>
      </c>
      <c r="P230" s="399">
        <v>0</v>
      </c>
      <c r="Q230" s="399">
        <v>0</v>
      </c>
      <c r="R230" s="399"/>
      <c r="S230" s="399"/>
      <c r="T230" s="399"/>
      <c r="U230" s="399"/>
      <c r="V230" s="399"/>
      <c r="W230" s="399"/>
      <c r="X230" s="399"/>
      <c r="Y230" s="399"/>
      <c r="Z230" s="399"/>
      <c r="AA230" s="399">
        <v>0</v>
      </c>
      <c r="AB230" s="399"/>
      <c r="AC230" s="399"/>
      <c r="AD230" s="399"/>
      <c r="AE230" s="399"/>
      <c r="AF230" s="399"/>
      <c r="AG230" s="399"/>
      <c r="AH230" s="399"/>
      <c r="AI230" s="399"/>
      <c r="AJ230" s="399"/>
      <c r="AK230" s="399"/>
      <c r="AL230" s="399"/>
      <c r="AM230" s="399"/>
      <c r="AN230" s="399"/>
      <c r="AO230" s="399"/>
      <c r="AP230" s="399"/>
      <c r="AQ230" s="399"/>
      <c r="AR230" s="399"/>
      <c r="AS230" s="399"/>
      <c r="AT230" s="399"/>
      <c r="AU230" s="399"/>
      <c r="AV230" s="399"/>
      <c r="AW230" s="399"/>
      <c r="AX230" s="399"/>
      <c r="AY230" s="399"/>
      <c r="AZ230" s="399">
        <v>0</v>
      </c>
      <c r="BA230" s="399"/>
      <c r="BB230" s="399"/>
      <c r="BC230" s="399"/>
      <c r="BD230" s="399"/>
      <c r="BE230" s="399"/>
      <c r="BF230" s="399"/>
      <c r="BG230" s="399"/>
      <c r="BH230" s="399"/>
      <c r="BI230" s="399">
        <v>0</v>
      </c>
      <c r="BJ230" s="399">
        <v>0</v>
      </c>
      <c r="BK230" s="399">
        <v>-2706.71</v>
      </c>
      <c r="BL230" s="399">
        <v>0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/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/>
      <c r="CJ230" s="399">
        <v>-0.03</v>
      </c>
      <c r="CK230" s="399"/>
      <c r="CL230" s="399"/>
      <c r="CM230" s="399"/>
      <c r="CN230" s="399"/>
      <c r="CO230" s="399">
        <v>0</v>
      </c>
      <c r="CP230" s="399">
        <v>0</v>
      </c>
      <c r="CQ230" s="399">
        <v>30</v>
      </c>
      <c r="CR230" s="399"/>
      <c r="CS230" s="399"/>
      <c r="CT230" s="399"/>
      <c r="CU230" s="399"/>
      <c r="CV230" s="399"/>
      <c r="CW230" s="399"/>
      <c r="CX230" s="399"/>
      <c r="CY230" s="399"/>
      <c r="CZ230" s="399"/>
      <c r="DA230" s="399"/>
      <c r="DB230" s="399"/>
      <c r="DC230" s="399"/>
      <c r="DD230" s="399"/>
      <c r="DE230" s="399"/>
      <c r="DF230" s="399"/>
      <c r="DG230" s="399"/>
      <c r="DH230" s="399"/>
      <c r="DI230" s="399"/>
      <c r="DJ230" s="399"/>
      <c r="DK230" s="399">
        <v>0</v>
      </c>
      <c r="DL230" s="399"/>
      <c r="DM230" s="399"/>
      <c r="DN230" s="399"/>
      <c r="DO230" s="399"/>
      <c r="DP230" s="399"/>
      <c r="DQ230" s="399"/>
      <c r="DR230" s="399"/>
      <c r="DS230" s="399"/>
      <c r="DT230" s="399"/>
      <c r="DU230" s="399"/>
      <c r="DV230" s="399"/>
      <c r="DW230" s="399"/>
      <c r="DX230" s="399"/>
      <c r="DY230" s="399"/>
      <c r="DZ230" s="399"/>
      <c r="EA230" s="399"/>
      <c r="EB230" s="399"/>
      <c r="EC230" s="399"/>
      <c r="ED230" s="399"/>
      <c r="EE230" s="399"/>
      <c r="EF230" s="399"/>
      <c r="EG230" s="399"/>
      <c r="EH230" s="399"/>
      <c r="EI230" s="399"/>
      <c r="EJ230" s="399"/>
      <c r="EK230" s="399"/>
      <c r="EL230" s="399"/>
      <c r="EM230" s="399"/>
      <c r="EN230" s="399"/>
      <c r="EO230" s="399"/>
      <c r="EP230" s="399"/>
      <c r="EQ230" s="399"/>
      <c r="ER230" s="399"/>
      <c r="ES230" s="399"/>
      <c r="ET230" s="399"/>
      <c r="EU230" s="399"/>
      <c r="EV230" s="399">
        <v>229</v>
      </c>
      <c r="EW230" s="399"/>
      <c r="EX230" s="399"/>
      <c r="EY230" s="399"/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229</v>
      </c>
      <c r="B231" s="399" t="s">
        <v>2339</v>
      </c>
      <c r="C231" s="399" t="s">
        <v>2344</v>
      </c>
      <c r="D231" s="399" t="s">
        <v>533</v>
      </c>
      <c r="E231" s="399" t="s">
        <v>888</v>
      </c>
      <c r="F231" s="399" t="s">
        <v>1237</v>
      </c>
      <c r="G231" s="399" t="s">
        <v>1237</v>
      </c>
      <c r="H231" s="399" t="s">
        <v>1237</v>
      </c>
      <c r="I231" s="399" t="s">
        <v>1237</v>
      </c>
      <c r="J231" s="399" t="s">
        <v>2337</v>
      </c>
      <c r="K231" s="788">
        <v>44652</v>
      </c>
      <c r="L231" s="399">
        <v>100</v>
      </c>
      <c r="M231" s="399">
        <v>100</v>
      </c>
      <c r="N231" s="399">
        <v>0</v>
      </c>
      <c r="O231" s="399">
        <v>0</v>
      </c>
      <c r="P231" s="399">
        <v>0</v>
      </c>
      <c r="Q231" s="399">
        <v>0</v>
      </c>
      <c r="R231" s="399">
        <v>46.29</v>
      </c>
      <c r="S231" s="399"/>
      <c r="T231" s="399"/>
      <c r="U231" s="399">
        <v>4629</v>
      </c>
      <c r="V231" s="399"/>
      <c r="W231" s="399">
        <v>4629</v>
      </c>
      <c r="X231" s="399">
        <v>4115</v>
      </c>
      <c r="Y231" s="399">
        <v>0</v>
      </c>
      <c r="Z231" s="399">
        <v>0</v>
      </c>
      <c r="AA231" s="399">
        <v>0</v>
      </c>
      <c r="AB231" s="399">
        <v>0</v>
      </c>
      <c r="AC231" s="399">
        <v>0</v>
      </c>
      <c r="AD231" s="399">
        <v>1791.3012373515901</v>
      </c>
      <c r="AE231" s="399">
        <v>2837.3428309380402</v>
      </c>
      <c r="AF231" s="399"/>
      <c r="AG231" s="399"/>
      <c r="AH231" s="399"/>
      <c r="AI231" s="399">
        <v>0</v>
      </c>
      <c r="AJ231" s="399">
        <v>0</v>
      </c>
      <c r="AK231" s="399">
        <v>0</v>
      </c>
      <c r="AL231" s="399">
        <v>0</v>
      </c>
      <c r="AM231" s="399"/>
      <c r="AN231" s="399">
        <v>0</v>
      </c>
      <c r="AO231" s="399">
        <v>0</v>
      </c>
      <c r="AP231" s="399">
        <v>0</v>
      </c>
      <c r="AQ231" s="399">
        <v>0</v>
      </c>
      <c r="AR231" s="399">
        <v>0</v>
      </c>
      <c r="AS231" s="399"/>
      <c r="AT231" s="399"/>
      <c r="AU231" s="399">
        <v>0</v>
      </c>
      <c r="AV231" s="399">
        <v>0</v>
      </c>
      <c r="AW231" s="399">
        <v>0</v>
      </c>
      <c r="AX231" s="399"/>
      <c r="AY231" s="399"/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/>
      <c r="BG231" s="399">
        <v>0</v>
      </c>
      <c r="BH231" s="399">
        <v>0</v>
      </c>
      <c r="BI231" s="399">
        <v>0</v>
      </c>
      <c r="BJ231" s="399">
        <v>0</v>
      </c>
      <c r="BK231" s="399">
        <v>5213.8999999999996</v>
      </c>
      <c r="BL231" s="399">
        <v>1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>
        <v>0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4115</v>
      </c>
      <c r="CJ231" s="399">
        <v>-514.03000000000065</v>
      </c>
      <c r="CK231" s="399"/>
      <c r="CL231" s="399"/>
      <c r="CM231" s="399"/>
      <c r="CN231" s="399"/>
      <c r="CO231" s="399">
        <v>-514</v>
      </c>
      <c r="CP231" s="399">
        <v>0</v>
      </c>
      <c r="CQ231" s="399">
        <v>30</v>
      </c>
      <c r="CR231" s="399">
        <v>-9.5837838436800666</v>
      </c>
      <c r="CS231" s="399">
        <v>0</v>
      </c>
      <c r="CT231" s="399">
        <v>0</v>
      </c>
      <c r="CU231" s="399">
        <v>0</v>
      </c>
      <c r="CV231" s="399">
        <v>0</v>
      </c>
      <c r="CW231" s="399"/>
      <c r="CX231" s="399"/>
      <c r="CY231" s="399"/>
      <c r="CZ231" s="399">
        <v>-9.5837838436800666</v>
      </c>
      <c r="DA231" s="399">
        <v>0</v>
      </c>
      <c r="DB231" s="399">
        <v>0</v>
      </c>
      <c r="DC231" s="399"/>
      <c r="DD231" s="399"/>
      <c r="DE231" s="399">
        <v>0</v>
      </c>
      <c r="DF231" s="399">
        <v>0</v>
      </c>
      <c r="DG231" s="399">
        <v>0</v>
      </c>
      <c r="DH231" s="399">
        <v>0</v>
      </c>
      <c r="DI231" s="399">
        <v>0</v>
      </c>
      <c r="DJ231" s="399"/>
      <c r="DK231" s="399">
        <v>0</v>
      </c>
      <c r="DL231" s="399">
        <v>0</v>
      </c>
      <c r="DM231" s="399"/>
      <c r="DN231" s="399">
        <v>0</v>
      </c>
      <c r="DO231" s="399">
        <v>0</v>
      </c>
      <c r="DP231" s="399">
        <v>0</v>
      </c>
      <c r="DQ231" s="399">
        <v>0</v>
      </c>
      <c r="DR231" s="399">
        <v>0</v>
      </c>
      <c r="DS231" s="399"/>
      <c r="DT231" s="399"/>
      <c r="DU231" s="399">
        <v>2837.3428309380402</v>
      </c>
      <c r="DV231" s="399"/>
      <c r="DW231" s="399">
        <v>0</v>
      </c>
      <c r="DX231" s="399">
        <v>0</v>
      </c>
      <c r="DY231" s="399">
        <v>-514</v>
      </c>
      <c r="DZ231" s="399"/>
      <c r="EA231" s="399">
        <v>0</v>
      </c>
      <c r="EB231" s="399"/>
      <c r="EC231" s="399">
        <v>-504.17870577822032</v>
      </c>
      <c r="ED231" s="399"/>
      <c r="EE231" s="399">
        <v>0</v>
      </c>
      <c r="EF231" s="399">
        <v>0</v>
      </c>
      <c r="EG231" s="399"/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/>
      <c r="EN231" s="399"/>
      <c r="EO231" s="399">
        <v>0</v>
      </c>
      <c r="EP231" s="399">
        <v>0</v>
      </c>
      <c r="EQ231" s="399"/>
      <c r="ER231" s="399">
        <v>0</v>
      </c>
      <c r="ES231" s="399"/>
      <c r="ET231" s="399">
        <v>0</v>
      </c>
      <c r="EU231" s="399"/>
      <c r="EV231" s="399">
        <v>229</v>
      </c>
      <c r="EW231" s="399"/>
      <c r="EX231" s="399"/>
      <c r="EY231" s="399"/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230</v>
      </c>
      <c r="B232" s="399" t="s">
        <v>954</v>
      </c>
      <c r="C232" s="399" t="s">
        <v>2345</v>
      </c>
      <c r="D232" s="399" t="s">
        <v>1822</v>
      </c>
      <c r="E232" s="399" t="s">
        <v>888</v>
      </c>
      <c r="F232" s="399" t="s">
        <v>1237</v>
      </c>
      <c r="G232" s="399" t="s">
        <v>1237</v>
      </c>
      <c r="H232" s="399" t="s">
        <v>1237</v>
      </c>
      <c r="I232" s="399" t="s">
        <v>891</v>
      </c>
      <c r="J232" s="399" t="s">
        <v>2337</v>
      </c>
      <c r="K232" s="788">
        <v>44652</v>
      </c>
      <c r="L232" s="399">
        <v>0</v>
      </c>
      <c r="M232" s="399">
        <v>0</v>
      </c>
      <c r="N232" s="399">
        <v>0.10299999999999999</v>
      </c>
      <c r="O232" s="399">
        <v>0.10299999999999999</v>
      </c>
      <c r="P232" s="399">
        <v>0.10299999999999999</v>
      </c>
      <c r="Q232" s="399">
        <v>0.10299999999999999</v>
      </c>
      <c r="R232" s="399"/>
      <c r="S232" s="399">
        <v>2187.66</v>
      </c>
      <c r="T232" s="399">
        <v>119.97</v>
      </c>
      <c r="U232" s="399"/>
      <c r="V232" s="399">
        <v>237.68588999999997</v>
      </c>
      <c r="W232" s="399">
        <v>237.68588999999997</v>
      </c>
      <c r="X232" s="399">
        <v>205.06784999999999</v>
      </c>
      <c r="Y232" s="399">
        <v>0</v>
      </c>
      <c r="Z232" s="399">
        <v>6.272172596546576</v>
      </c>
      <c r="AA232" s="399">
        <v>0</v>
      </c>
      <c r="AB232" s="399">
        <v>0</v>
      </c>
      <c r="AC232" s="399">
        <v>0</v>
      </c>
      <c r="AD232" s="399">
        <v>37.656453383424484</v>
      </c>
      <c r="AE232" s="399">
        <v>178.378885109717</v>
      </c>
      <c r="AF232" s="399">
        <v>12.357305785073486</v>
      </c>
      <c r="AG232" s="399">
        <v>0</v>
      </c>
      <c r="AH232" s="399">
        <v>0</v>
      </c>
      <c r="AI232" s="399">
        <v>0</v>
      </c>
      <c r="AJ232" s="399">
        <v>0</v>
      </c>
      <c r="AK232" s="399">
        <v>0</v>
      </c>
      <c r="AL232" s="399">
        <v>0.9692532686122205</v>
      </c>
      <c r="AM232" s="399"/>
      <c r="AN232" s="399">
        <v>0.22158377137430557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1.8305585911624134</v>
      </c>
      <c r="BH232" s="399">
        <v>0</v>
      </c>
      <c r="BI232" s="399">
        <v>0</v>
      </c>
      <c r="BJ232" s="399">
        <v>0</v>
      </c>
      <c r="BK232" s="399">
        <v>0</v>
      </c>
      <c r="BL232" s="399">
        <v>0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>
        <v>14.187864376235899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199.09500000000003</v>
      </c>
      <c r="CJ232" s="399">
        <v>-38.620889999999918</v>
      </c>
      <c r="CK232" s="399"/>
      <c r="CL232" s="399"/>
      <c r="CM232" s="399"/>
      <c r="CN232" s="399"/>
      <c r="CO232" s="399">
        <v>-32.618039999999979</v>
      </c>
      <c r="CP232" s="399">
        <v>0</v>
      </c>
      <c r="CQ232" s="399">
        <v>30</v>
      </c>
      <c r="CR232" s="399">
        <v>-0.92071467433465415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-0.20146879934046069</v>
      </c>
      <c r="DA232" s="399">
        <v>0</v>
      </c>
      <c r="DB232" s="399">
        <v>0</v>
      </c>
      <c r="DC232" s="399">
        <v>0</v>
      </c>
      <c r="DD232" s="399">
        <v>0</v>
      </c>
      <c r="DE232" s="399">
        <v>0</v>
      </c>
      <c r="DF232" s="399">
        <v>0</v>
      </c>
      <c r="DG232" s="399">
        <v>0</v>
      </c>
      <c r="DH232" s="399">
        <v>0</v>
      </c>
      <c r="DI232" s="399">
        <v>-0.61832498211247167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-8.2598120179744217E-2</v>
      </c>
      <c r="DP232" s="399">
        <v>-1.8322772701980877E-2</v>
      </c>
      <c r="DQ232" s="399">
        <v>0</v>
      </c>
      <c r="DR232" s="399">
        <v>0</v>
      </c>
      <c r="DS232" s="399"/>
      <c r="DT232" s="399"/>
      <c r="DU232" s="399"/>
      <c r="DV232" s="399">
        <v>178.378885109717</v>
      </c>
      <c r="DW232" s="399">
        <v>0</v>
      </c>
      <c r="DX232" s="399">
        <v>0</v>
      </c>
      <c r="DY232" s="399">
        <v>-32.618039999999979</v>
      </c>
      <c r="DZ232" s="399">
        <v>0</v>
      </c>
      <c r="EA232" s="399">
        <v>0</v>
      </c>
      <c r="EB232" s="399">
        <v>0</v>
      </c>
      <c r="EC232" s="399">
        <v>-31.696851875684558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229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231</v>
      </c>
      <c r="B233" s="399" t="s">
        <v>954</v>
      </c>
      <c r="C233" s="399" t="s">
        <v>2345</v>
      </c>
      <c r="D233" s="399" t="s">
        <v>1822</v>
      </c>
      <c r="E233" s="399" t="s">
        <v>888</v>
      </c>
      <c r="F233" s="399" t="s">
        <v>1237</v>
      </c>
      <c r="G233" s="399" t="s">
        <v>1237</v>
      </c>
      <c r="H233" s="399" t="s">
        <v>1237</v>
      </c>
      <c r="I233" s="399" t="s">
        <v>2322</v>
      </c>
      <c r="J233" s="399" t="s">
        <v>2337</v>
      </c>
      <c r="K233" s="788">
        <v>44652</v>
      </c>
      <c r="L233" s="399">
        <v>0</v>
      </c>
      <c r="M233" s="399">
        <v>0</v>
      </c>
      <c r="N233" s="399">
        <v>29.988</v>
      </c>
      <c r="O233" s="399">
        <v>29.988</v>
      </c>
      <c r="P233" s="399">
        <v>29.988</v>
      </c>
      <c r="Q233" s="399">
        <v>29.988</v>
      </c>
      <c r="R233" s="399"/>
      <c r="S233" s="399">
        <v>509.72</v>
      </c>
      <c r="T233" s="399">
        <v>119.97</v>
      </c>
      <c r="U233" s="399"/>
      <c r="V233" s="399">
        <v>18883.14372</v>
      </c>
      <c r="W233" s="399">
        <v>18883.14372</v>
      </c>
      <c r="X233" s="399">
        <v>16816.070879999999</v>
      </c>
      <c r="Y233" s="399">
        <v>0</v>
      </c>
      <c r="Z233" s="399">
        <v>1826.1156487887256</v>
      </c>
      <c r="AA233" s="399">
        <v>0</v>
      </c>
      <c r="AB233" s="399">
        <v>0</v>
      </c>
      <c r="AC233" s="399">
        <v>0</v>
      </c>
      <c r="AD233" s="399">
        <v>2192.7023768196736</v>
      </c>
      <c r="AE233" s="399">
        <v>10386.855136299375</v>
      </c>
      <c r="AF233" s="399">
        <v>3597.7755910949877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282.19385455478903</v>
      </c>
      <c r="AM233" s="399"/>
      <c r="AN233" s="399">
        <v>64.513146951191018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532.9591362308588</v>
      </c>
      <c r="BH233" s="399">
        <v>0</v>
      </c>
      <c r="BI233" s="399">
        <v>0</v>
      </c>
      <c r="BJ233" s="399">
        <v>0</v>
      </c>
      <c r="BK233" s="399">
        <v>0</v>
      </c>
      <c r="BL233" s="399">
        <v>0</v>
      </c>
      <c r="BM233" s="399"/>
      <c r="BN233" s="399"/>
      <c r="BO233" s="399"/>
      <c r="BP233" s="399"/>
      <c r="BQ233" s="399"/>
      <c r="BR233" s="399"/>
      <c r="BS233" s="399"/>
      <c r="BT233" s="399"/>
      <c r="BU233" s="399"/>
      <c r="BV233" s="399">
        <v>4130.7347273258465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16817.1924</v>
      </c>
      <c r="CJ233" s="399">
        <v>-2065.981319999999</v>
      </c>
      <c r="CK233" s="399"/>
      <c r="CL233" s="399"/>
      <c r="CM233" s="399"/>
      <c r="CN233" s="399"/>
      <c r="CO233" s="399">
        <v>-2067.0728400000003</v>
      </c>
      <c r="CP233" s="399">
        <v>0</v>
      </c>
      <c r="CQ233" s="399">
        <v>30</v>
      </c>
      <c r="CR233" s="399">
        <v>-221.13664631310712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-11.731352144893663</v>
      </c>
      <c r="DA233" s="399">
        <v>0</v>
      </c>
      <c r="DB233" s="399">
        <v>0</v>
      </c>
      <c r="DC233" s="399">
        <v>0</v>
      </c>
      <c r="DD233" s="399">
        <v>0</v>
      </c>
      <c r="DE233" s="399">
        <v>0</v>
      </c>
      <c r="DF233" s="399">
        <v>0</v>
      </c>
      <c r="DG233" s="399">
        <v>0</v>
      </c>
      <c r="DH233" s="399">
        <v>0</v>
      </c>
      <c r="DI233" s="399">
        <v>-180.02261712222139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-24.048081824758924</v>
      </c>
      <c r="DP233" s="399">
        <v>-5.3345952212330232</v>
      </c>
      <c r="DQ233" s="399">
        <v>0</v>
      </c>
      <c r="DR233" s="399">
        <v>0</v>
      </c>
      <c r="DS233" s="399"/>
      <c r="DT233" s="399"/>
      <c r="DU233" s="399"/>
      <c r="DV233" s="399">
        <v>10386.855136299375</v>
      </c>
      <c r="DW233" s="399">
        <v>0</v>
      </c>
      <c r="DX233" s="399">
        <v>0</v>
      </c>
      <c r="DY233" s="399">
        <v>-2067.0728399999989</v>
      </c>
      <c r="DZ233" s="399">
        <v>0</v>
      </c>
      <c r="EA233" s="399">
        <v>0</v>
      </c>
      <c r="EB233" s="399">
        <v>0</v>
      </c>
      <c r="EC233" s="399">
        <v>-1845.6815026451823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229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232</v>
      </c>
      <c r="B234" s="399" t="s">
        <v>954</v>
      </c>
      <c r="C234" s="399" t="s">
        <v>2345</v>
      </c>
      <c r="D234" s="399" t="s">
        <v>1822</v>
      </c>
      <c r="E234" s="399" t="s">
        <v>888</v>
      </c>
      <c r="F234" s="399" t="s">
        <v>1237</v>
      </c>
      <c r="G234" s="399" t="s">
        <v>1237</v>
      </c>
      <c r="H234" s="399" t="s">
        <v>1237</v>
      </c>
      <c r="I234" s="399" t="s">
        <v>1237</v>
      </c>
      <c r="J234" s="399" t="s">
        <v>2337</v>
      </c>
      <c r="K234" s="788">
        <v>44652</v>
      </c>
      <c r="L234" s="399">
        <v>0</v>
      </c>
      <c r="M234" s="399">
        <v>0</v>
      </c>
      <c r="N234" s="399">
        <v>0</v>
      </c>
      <c r="O234" s="399">
        <v>0</v>
      </c>
      <c r="P234" s="399">
        <v>0</v>
      </c>
      <c r="Q234" s="399">
        <v>0</v>
      </c>
      <c r="R234" s="399"/>
      <c r="S234" s="399"/>
      <c r="T234" s="399"/>
      <c r="U234" s="399"/>
      <c r="V234" s="399"/>
      <c r="W234" s="399"/>
      <c r="X234" s="399"/>
      <c r="Y234" s="399"/>
      <c r="Z234" s="399"/>
      <c r="AA234" s="399">
        <v>0</v>
      </c>
      <c r="AB234" s="399"/>
      <c r="AC234" s="399"/>
      <c r="AD234" s="399"/>
      <c r="AE234" s="399"/>
      <c r="AF234" s="399"/>
      <c r="AG234" s="399"/>
      <c r="AH234" s="399"/>
      <c r="AI234" s="399"/>
      <c r="AJ234" s="399"/>
      <c r="AK234" s="399"/>
      <c r="AL234" s="399"/>
      <c r="AM234" s="399"/>
      <c r="AN234" s="399"/>
      <c r="AO234" s="399"/>
      <c r="AP234" s="399"/>
      <c r="AQ234" s="399"/>
      <c r="AR234" s="399"/>
      <c r="AS234" s="399"/>
      <c r="AT234" s="399"/>
      <c r="AU234" s="399"/>
      <c r="AV234" s="399"/>
      <c r="AW234" s="399"/>
      <c r="AX234" s="399"/>
      <c r="AY234" s="399"/>
      <c r="AZ234" s="399">
        <v>0</v>
      </c>
      <c r="BA234" s="399"/>
      <c r="BB234" s="399"/>
      <c r="BC234" s="399"/>
      <c r="BD234" s="399"/>
      <c r="BE234" s="399"/>
      <c r="BF234" s="399"/>
      <c r="BG234" s="399"/>
      <c r="BH234" s="399"/>
      <c r="BI234" s="399">
        <v>0</v>
      </c>
      <c r="BJ234" s="399">
        <v>0</v>
      </c>
      <c r="BK234" s="399">
        <v>6728.28</v>
      </c>
      <c r="BL234" s="399">
        <v>7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/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/>
      <c r="CJ234" s="399">
        <v>-0.03</v>
      </c>
      <c r="CK234" s="399"/>
      <c r="CL234" s="399"/>
      <c r="CM234" s="399"/>
      <c r="CN234" s="399"/>
      <c r="CO234" s="399">
        <v>0</v>
      </c>
      <c r="CP234" s="399">
        <v>0</v>
      </c>
      <c r="CQ234" s="399">
        <v>30</v>
      </c>
      <c r="CR234" s="399"/>
      <c r="CS234" s="399"/>
      <c r="CT234" s="399"/>
      <c r="CU234" s="399"/>
      <c r="CV234" s="399"/>
      <c r="CW234" s="399"/>
      <c r="CX234" s="399"/>
      <c r="CY234" s="399"/>
      <c r="CZ234" s="399"/>
      <c r="DA234" s="399"/>
      <c r="DB234" s="399"/>
      <c r="DC234" s="399"/>
      <c r="DD234" s="399"/>
      <c r="DE234" s="399"/>
      <c r="DF234" s="399"/>
      <c r="DG234" s="399"/>
      <c r="DH234" s="399"/>
      <c r="DI234" s="399"/>
      <c r="DJ234" s="399"/>
      <c r="DK234" s="399">
        <v>0</v>
      </c>
      <c r="DL234" s="399"/>
      <c r="DM234" s="399"/>
      <c r="DN234" s="399"/>
      <c r="DO234" s="399"/>
      <c r="DP234" s="399"/>
      <c r="DQ234" s="399"/>
      <c r="DR234" s="399"/>
      <c r="DS234" s="399"/>
      <c r="DT234" s="399"/>
      <c r="DU234" s="399"/>
      <c r="DV234" s="399"/>
      <c r="DW234" s="399"/>
      <c r="DX234" s="399"/>
      <c r="DY234" s="399"/>
      <c r="DZ234" s="399"/>
      <c r="EA234" s="399"/>
      <c r="EB234" s="399"/>
      <c r="EC234" s="399"/>
      <c r="ED234" s="399"/>
      <c r="EE234" s="399"/>
      <c r="EF234" s="399"/>
      <c r="EG234" s="399"/>
      <c r="EH234" s="399"/>
      <c r="EI234" s="399"/>
      <c r="EJ234" s="399"/>
      <c r="EK234" s="399"/>
      <c r="EL234" s="399"/>
      <c r="EM234" s="399"/>
      <c r="EN234" s="399"/>
      <c r="EO234" s="399"/>
      <c r="EP234" s="399"/>
      <c r="EQ234" s="399"/>
      <c r="ER234" s="399"/>
      <c r="ES234" s="399"/>
      <c r="ET234" s="399"/>
      <c r="EU234" s="399"/>
      <c r="EV234" s="399">
        <v>229</v>
      </c>
      <c r="EW234" s="399"/>
      <c r="EX234" s="399"/>
      <c r="EY234" s="399"/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233</v>
      </c>
      <c r="B235" s="399" t="s">
        <v>2339</v>
      </c>
      <c r="C235" s="399" t="s">
        <v>2345</v>
      </c>
      <c r="D235" s="399" t="s">
        <v>1822</v>
      </c>
      <c r="E235" s="399" t="s">
        <v>888</v>
      </c>
      <c r="F235" s="399" t="s">
        <v>1237</v>
      </c>
      <c r="G235" s="399" t="s">
        <v>1237</v>
      </c>
      <c r="H235" s="399" t="s">
        <v>1237</v>
      </c>
      <c r="I235" s="399" t="s">
        <v>1237</v>
      </c>
      <c r="J235" s="399" t="s">
        <v>2337</v>
      </c>
      <c r="K235" s="788">
        <v>44652</v>
      </c>
      <c r="L235" s="399">
        <v>0</v>
      </c>
      <c r="M235" s="399">
        <v>0</v>
      </c>
      <c r="N235" s="399">
        <v>0</v>
      </c>
      <c r="O235" s="399">
        <v>0</v>
      </c>
      <c r="P235" s="399">
        <v>0</v>
      </c>
      <c r="Q235" s="399">
        <v>0</v>
      </c>
      <c r="R235" s="399"/>
      <c r="S235" s="399"/>
      <c r="T235" s="399"/>
      <c r="U235" s="399"/>
      <c r="V235" s="399"/>
      <c r="W235" s="399"/>
      <c r="X235" s="399"/>
      <c r="Y235" s="399"/>
      <c r="Z235" s="399"/>
      <c r="AA235" s="399">
        <v>0</v>
      </c>
      <c r="AB235" s="399"/>
      <c r="AC235" s="399"/>
      <c r="AD235" s="399"/>
      <c r="AE235" s="399"/>
      <c r="AF235" s="399"/>
      <c r="AG235" s="399"/>
      <c r="AH235" s="399"/>
      <c r="AI235" s="399"/>
      <c r="AJ235" s="399"/>
      <c r="AK235" s="399"/>
      <c r="AL235" s="399"/>
      <c r="AM235" s="399"/>
      <c r="AN235" s="399"/>
      <c r="AO235" s="399"/>
      <c r="AP235" s="399"/>
      <c r="AQ235" s="399"/>
      <c r="AR235" s="399"/>
      <c r="AS235" s="399"/>
      <c r="AT235" s="399"/>
      <c r="AU235" s="399"/>
      <c r="AV235" s="399"/>
      <c r="AW235" s="399"/>
      <c r="AX235" s="399"/>
      <c r="AY235" s="399"/>
      <c r="AZ235" s="399">
        <v>0</v>
      </c>
      <c r="BA235" s="399"/>
      <c r="BB235" s="399"/>
      <c r="BC235" s="399"/>
      <c r="BD235" s="399"/>
      <c r="BE235" s="399"/>
      <c r="BF235" s="399"/>
      <c r="BG235" s="399"/>
      <c r="BH235" s="399"/>
      <c r="BI235" s="399">
        <v>0</v>
      </c>
      <c r="BJ235" s="399">
        <v>0</v>
      </c>
      <c r="BK235" s="399">
        <v>1041.0899999999999</v>
      </c>
      <c r="BL235" s="399">
        <v>2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/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/>
      <c r="CJ235" s="399">
        <v>-0.03</v>
      </c>
      <c r="CK235" s="399"/>
      <c r="CL235" s="399"/>
      <c r="CM235" s="399"/>
      <c r="CN235" s="399"/>
      <c r="CO235" s="399">
        <v>0</v>
      </c>
      <c r="CP235" s="399">
        <v>0</v>
      </c>
      <c r="CQ235" s="399">
        <v>30</v>
      </c>
      <c r="CR235" s="399"/>
      <c r="CS235" s="399"/>
      <c r="CT235" s="399"/>
      <c r="CU235" s="399"/>
      <c r="CV235" s="399"/>
      <c r="CW235" s="399"/>
      <c r="CX235" s="399"/>
      <c r="CY235" s="399"/>
      <c r="CZ235" s="399"/>
      <c r="DA235" s="399"/>
      <c r="DB235" s="399"/>
      <c r="DC235" s="399"/>
      <c r="DD235" s="399"/>
      <c r="DE235" s="399"/>
      <c r="DF235" s="399"/>
      <c r="DG235" s="399"/>
      <c r="DH235" s="399"/>
      <c r="DI235" s="399"/>
      <c r="DJ235" s="399"/>
      <c r="DK235" s="399">
        <v>0</v>
      </c>
      <c r="DL235" s="399"/>
      <c r="DM235" s="399"/>
      <c r="DN235" s="399"/>
      <c r="DO235" s="399"/>
      <c r="DP235" s="399"/>
      <c r="DQ235" s="399"/>
      <c r="DR235" s="399"/>
      <c r="DS235" s="399"/>
      <c r="DT235" s="399"/>
      <c r="DU235" s="399"/>
      <c r="DV235" s="399"/>
      <c r="DW235" s="399"/>
      <c r="DX235" s="399"/>
      <c r="DY235" s="399"/>
      <c r="DZ235" s="399"/>
      <c r="EA235" s="399"/>
      <c r="EB235" s="399"/>
      <c r="EC235" s="399"/>
      <c r="ED235" s="399"/>
      <c r="EE235" s="399"/>
      <c r="EF235" s="399"/>
      <c r="EG235" s="399"/>
      <c r="EH235" s="399"/>
      <c r="EI235" s="399"/>
      <c r="EJ235" s="399"/>
      <c r="EK235" s="399"/>
      <c r="EL235" s="399"/>
      <c r="EM235" s="399"/>
      <c r="EN235" s="399"/>
      <c r="EO235" s="399"/>
      <c r="EP235" s="399"/>
      <c r="EQ235" s="399"/>
      <c r="ER235" s="399"/>
      <c r="ES235" s="399"/>
      <c r="ET235" s="399"/>
      <c r="EU235" s="399"/>
      <c r="EV235" s="399">
        <v>229</v>
      </c>
      <c r="EW235" s="399"/>
      <c r="EX235" s="399"/>
      <c r="EY235" s="399"/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234</v>
      </c>
      <c r="B236" s="399" t="s">
        <v>954</v>
      </c>
      <c r="C236" s="399" t="s">
        <v>2345</v>
      </c>
      <c r="D236" s="399" t="s">
        <v>1822</v>
      </c>
      <c r="E236" s="399" t="s">
        <v>888</v>
      </c>
      <c r="F236" s="399" t="s">
        <v>1237</v>
      </c>
      <c r="G236" s="399" t="s">
        <v>1237</v>
      </c>
      <c r="H236" s="399" t="s">
        <v>1237</v>
      </c>
      <c r="I236" s="399" t="s">
        <v>2346</v>
      </c>
      <c r="J236" s="399" t="s">
        <v>2337</v>
      </c>
      <c r="K236" s="788">
        <v>44652</v>
      </c>
      <c r="L236" s="399">
        <v>0</v>
      </c>
      <c r="M236" s="399">
        <v>0</v>
      </c>
      <c r="N236" s="399">
        <v>0.22600000000000001</v>
      </c>
      <c r="O236" s="399">
        <v>0.22600000000000001</v>
      </c>
      <c r="P236" s="399">
        <v>0.22600000000000001</v>
      </c>
      <c r="Q236" s="399">
        <v>0.22600000000000001</v>
      </c>
      <c r="R236" s="399"/>
      <c r="S236" s="399">
        <v>1348.63</v>
      </c>
      <c r="T236" s="399">
        <v>119.97</v>
      </c>
      <c r="U236" s="399"/>
      <c r="V236" s="399">
        <v>331.90360000000004</v>
      </c>
      <c r="W236" s="399">
        <v>331.90360000000004</v>
      </c>
      <c r="X236" s="399">
        <v>288.33080000000001</v>
      </c>
      <c r="Y236" s="399">
        <v>0</v>
      </c>
      <c r="Z236" s="399">
        <v>13.762242784655594</v>
      </c>
      <c r="AA236" s="399">
        <v>0</v>
      </c>
      <c r="AB236" s="399">
        <v>0</v>
      </c>
      <c r="AC236" s="399">
        <v>0</v>
      </c>
      <c r="AD236" s="399">
        <v>49.561086814809194</v>
      </c>
      <c r="AE236" s="399">
        <v>234.83664675710156</v>
      </c>
      <c r="AF236" s="399">
        <v>27.114088421617556</v>
      </c>
      <c r="AG236" s="399">
        <v>0</v>
      </c>
      <c r="AH236" s="399">
        <v>0</v>
      </c>
      <c r="AI236" s="399">
        <v>0</v>
      </c>
      <c r="AJ236" s="399">
        <v>0</v>
      </c>
      <c r="AK236" s="399">
        <v>0</v>
      </c>
      <c r="AL236" s="399">
        <v>2.1267110554015716</v>
      </c>
      <c r="AM236" s="399"/>
      <c r="AN236" s="399">
        <v>0.48619351777274816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4.0165654524534515</v>
      </c>
      <c r="BH236" s="399">
        <v>0</v>
      </c>
      <c r="BI236" s="399">
        <v>0</v>
      </c>
      <c r="BJ236" s="399">
        <v>0</v>
      </c>
      <c r="BK236" s="399">
        <v>0</v>
      </c>
      <c r="BL236" s="399">
        <v>0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31.130653874071008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293.43399999999997</v>
      </c>
      <c r="CJ236" s="399">
        <v>-38.499600000000044</v>
      </c>
      <c r="CK236" s="399"/>
      <c r="CL236" s="399"/>
      <c r="CM236" s="399"/>
      <c r="CN236" s="399"/>
      <c r="CO236" s="399">
        <v>-43.572800000000043</v>
      </c>
      <c r="CP236" s="399">
        <v>0</v>
      </c>
      <c r="CQ236" s="399">
        <v>30</v>
      </c>
      <c r="CR236" s="399">
        <v>-1.8433118728253248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-0.26516072963417514</v>
      </c>
      <c r="DA236" s="399">
        <v>0</v>
      </c>
      <c r="DB236" s="399">
        <v>0</v>
      </c>
      <c r="DC236" s="399">
        <v>0</v>
      </c>
      <c r="DD236" s="399">
        <v>0</v>
      </c>
      <c r="DE236" s="399">
        <v>0</v>
      </c>
      <c r="DF236" s="399">
        <v>0</v>
      </c>
      <c r="DG236" s="399">
        <v>0</v>
      </c>
      <c r="DH236" s="399">
        <v>0</v>
      </c>
      <c r="DI236" s="399">
        <v>-1.3567130675477532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-0.18123471029730309</v>
      </c>
      <c r="DP236" s="399">
        <v>-4.0203365346093922E-2</v>
      </c>
      <c r="DQ236" s="399">
        <v>0</v>
      </c>
      <c r="DR236" s="399">
        <v>0</v>
      </c>
      <c r="DS236" s="399"/>
      <c r="DT236" s="399"/>
      <c r="DU236" s="399"/>
      <c r="DV236" s="399">
        <v>234.83664675710156</v>
      </c>
      <c r="DW236" s="399">
        <v>0</v>
      </c>
      <c r="DX236" s="399">
        <v>0</v>
      </c>
      <c r="DY236" s="399">
        <v>-43.572800000000029</v>
      </c>
      <c r="DZ236" s="399">
        <v>0</v>
      </c>
      <c r="EA236" s="399">
        <v>0</v>
      </c>
      <c r="EB236" s="399">
        <v>0</v>
      </c>
      <c r="EC236" s="399">
        <v>-41.729055558700253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0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229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235</v>
      </c>
      <c r="B237" s="399" t="s">
        <v>954</v>
      </c>
      <c r="C237" s="399" t="s">
        <v>2336</v>
      </c>
      <c r="D237" s="399" t="s">
        <v>1822</v>
      </c>
      <c r="E237" s="399" t="s">
        <v>916</v>
      </c>
      <c r="F237" s="399" t="s">
        <v>1237</v>
      </c>
      <c r="G237" s="399" t="s">
        <v>1237</v>
      </c>
      <c r="H237" s="399" t="s">
        <v>1237</v>
      </c>
      <c r="I237" s="399" t="s">
        <v>1237</v>
      </c>
      <c r="J237" s="399" t="s">
        <v>2337</v>
      </c>
      <c r="K237" s="788">
        <v>44652</v>
      </c>
      <c r="L237" s="399">
        <v>0</v>
      </c>
      <c r="M237" s="399">
        <v>0</v>
      </c>
      <c r="N237" s="399">
        <v>86.762</v>
      </c>
      <c r="O237" s="399">
        <v>86.762</v>
      </c>
      <c r="P237" s="399">
        <v>86.762</v>
      </c>
      <c r="Q237" s="399">
        <v>86.762</v>
      </c>
      <c r="R237" s="399"/>
      <c r="S237" s="399">
        <v>707.13</v>
      </c>
      <c r="T237" s="399">
        <v>119.97</v>
      </c>
      <c r="U237" s="399"/>
      <c r="V237" s="399">
        <v>71760.850200000001</v>
      </c>
      <c r="W237" s="399">
        <v>71760.850200000001</v>
      </c>
      <c r="X237" s="399">
        <v>63252.100859999991</v>
      </c>
      <c r="Y237" s="399">
        <v>0</v>
      </c>
      <c r="Z237" s="399">
        <v>5283.3615419570297</v>
      </c>
      <c r="AA237" s="399">
        <v>0</v>
      </c>
      <c r="AB237" s="399">
        <v>0</v>
      </c>
      <c r="AC237" s="399">
        <v>0</v>
      </c>
      <c r="AD237" s="399">
        <v>9330.3170076115402</v>
      </c>
      <c r="AE237" s="399">
        <v>44193.348151971135</v>
      </c>
      <c r="AF237" s="399">
        <v>10409.170529364523</v>
      </c>
      <c r="AG237" s="399">
        <v>0</v>
      </c>
      <c r="AH237" s="399">
        <v>0</v>
      </c>
      <c r="AI237" s="399">
        <v>0</v>
      </c>
      <c r="AJ237" s="399">
        <v>0</v>
      </c>
      <c r="AK237" s="399">
        <v>0</v>
      </c>
      <c r="AL237" s="399">
        <v>816.45002030420858</v>
      </c>
      <c r="AM237" s="399"/>
      <c r="AN237" s="399">
        <v>186.65098225220873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1541.9701406449838</v>
      </c>
      <c r="BH237" s="399">
        <v>0</v>
      </c>
      <c r="BI237" s="399">
        <v>0</v>
      </c>
      <c r="BJ237" s="399">
        <v>0</v>
      </c>
      <c r="BK237" s="399">
        <v>22381</v>
      </c>
      <c r="BL237" s="399">
        <v>265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11951.140670009507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63250.642800000001</v>
      </c>
      <c r="CJ237" s="399">
        <v>-8510.2373999999982</v>
      </c>
      <c r="CK237" s="399"/>
      <c r="CL237" s="399"/>
      <c r="CM237" s="399"/>
      <c r="CN237" s="399"/>
      <c r="CO237" s="399">
        <v>-8508.7493400000039</v>
      </c>
      <c r="CP237" s="399">
        <v>0</v>
      </c>
      <c r="CQ237" s="399">
        <v>30</v>
      </c>
      <c r="CR237" s="399">
        <v>-655.77528800483924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-49.918874351964405</v>
      </c>
      <c r="DA237" s="399">
        <v>0</v>
      </c>
      <c r="DB237" s="399">
        <v>0</v>
      </c>
      <c r="DC237" s="399">
        <v>0</v>
      </c>
      <c r="DD237" s="399">
        <v>0</v>
      </c>
      <c r="DE237" s="399">
        <v>0</v>
      </c>
      <c r="DF237" s="399">
        <v>0</v>
      </c>
      <c r="DG237" s="399">
        <v>0</v>
      </c>
      <c r="DH237" s="399">
        <v>0</v>
      </c>
      <c r="DI237" s="399">
        <v>-520.84574852468177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-69.576486437232688</v>
      </c>
      <c r="DP237" s="399">
        <v>-15.434178690963705</v>
      </c>
      <c r="DQ237" s="399">
        <v>0</v>
      </c>
      <c r="DR237" s="399">
        <v>0</v>
      </c>
      <c r="DS237" s="399"/>
      <c r="DT237" s="399"/>
      <c r="DU237" s="399"/>
      <c r="DV237" s="399">
        <v>44193.348151971135</v>
      </c>
      <c r="DW237" s="399">
        <v>0</v>
      </c>
      <c r="DX237" s="399">
        <v>0</v>
      </c>
      <c r="DY237" s="399">
        <v>-8508.7493400000021</v>
      </c>
      <c r="DZ237" s="399">
        <v>0</v>
      </c>
      <c r="EA237" s="399">
        <v>0</v>
      </c>
      <c r="EB237" s="399">
        <v>0</v>
      </c>
      <c r="EC237" s="399">
        <v>-7852.8913856704021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229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236</v>
      </c>
      <c r="B238" s="399" t="s">
        <v>2338</v>
      </c>
      <c r="C238" s="399" t="s">
        <v>2336</v>
      </c>
      <c r="D238" s="399" t="s">
        <v>1822</v>
      </c>
      <c r="E238" s="399" t="s">
        <v>916</v>
      </c>
      <c r="F238" s="399" t="s">
        <v>1237</v>
      </c>
      <c r="G238" s="399" t="s">
        <v>1237</v>
      </c>
      <c r="H238" s="399" t="s">
        <v>1237</v>
      </c>
      <c r="I238" s="399" t="s">
        <v>1237</v>
      </c>
      <c r="J238" s="399" t="s">
        <v>2337</v>
      </c>
      <c r="K238" s="788">
        <v>44652</v>
      </c>
      <c r="L238" s="399">
        <v>0</v>
      </c>
      <c r="M238" s="399">
        <v>0</v>
      </c>
      <c r="N238" s="399">
        <v>-0.32900000000000001</v>
      </c>
      <c r="O238" s="399">
        <v>-0.32900000000000001</v>
      </c>
      <c r="P238" s="399">
        <v>-0.32900000000000001</v>
      </c>
      <c r="Q238" s="399">
        <v>-0.32900000000000001</v>
      </c>
      <c r="R238" s="399"/>
      <c r="S238" s="399">
        <v>707.13</v>
      </c>
      <c r="T238" s="399">
        <v>119.97</v>
      </c>
      <c r="U238" s="399"/>
      <c r="V238" s="399">
        <v>-272.11590000000001</v>
      </c>
      <c r="W238" s="399">
        <v>-272.11590000000001</v>
      </c>
      <c r="X238" s="399">
        <v>-239.85087000000001</v>
      </c>
      <c r="Y238" s="399">
        <v>0</v>
      </c>
      <c r="Z238" s="399">
        <v>-20.034415381202173</v>
      </c>
      <c r="AA238" s="399">
        <v>0</v>
      </c>
      <c r="AB238" s="399">
        <v>0</v>
      </c>
      <c r="AC238" s="399">
        <v>0</v>
      </c>
      <c r="AD238" s="399">
        <v>-35.380400353889918</v>
      </c>
      <c r="AE238" s="399">
        <v>-167.58041011039975</v>
      </c>
      <c r="AF238" s="399">
        <v>-39.471394206691045</v>
      </c>
      <c r="AG238" s="399">
        <v>0</v>
      </c>
      <c r="AH238" s="399">
        <v>0</v>
      </c>
      <c r="AI238" s="399">
        <v>0</v>
      </c>
      <c r="AJ238" s="399">
        <v>0</v>
      </c>
      <c r="AK238" s="399">
        <v>0</v>
      </c>
      <c r="AL238" s="399">
        <v>-3.0959643240137922</v>
      </c>
      <c r="AM238" s="399"/>
      <c r="AN238" s="399">
        <v>-0.70777728914705373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-5.8471240436158647</v>
      </c>
      <c r="BH238" s="399">
        <v>0</v>
      </c>
      <c r="BI238" s="399">
        <v>0</v>
      </c>
      <c r="BJ238" s="399">
        <v>0</v>
      </c>
      <c r="BK238" s="399">
        <v>-89.56</v>
      </c>
      <c r="BL238" s="399">
        <v>0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>
        <v>-45.318518250306909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-240.57990000000001</v>
      </c>
      <c r="CJ238" s="399">
        <v>31.506000000000029</v>
      </c>
      <c r="CK238" s="399"/>
      <c r="CL238" s="399"/>
      <c r="CM238" s="399"/>
      <c r="CN238" s="399"/>
      <c r="CO238" s="399">
        <v>32.265030000000017</v>
      </c>
      <c r="CP238" s="399">
        <v>0</v>
      </c>
      <c r="CQ238" s="399">
        <v>30</v>
      </c>
      <c r="CR238" s="399">
        <v>2.4866885243954187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0.18929150621005419</v>
      </c>
      <c r="DA238" s="399">
        <v>0</v>
      </c>
      <c r="DB238" s="399">
        <v>0</v>
      </c>
      <c r="DC238" s="399">
        <v>0</v>
      </c>
      <c r="DD238" s="399">
        <v>0</v>
      </c>
      <c r="DE238" s="399">
        <v>0</v>
      </c>
      <c r="DF238" s="399">
        <v>0</v>
      </c>
      <c r="DG238" s="399">
        <v>0</v>
      </c>
      <c r="DH238" s="399">
        <v>0</v>
      </c>
      <c r="DI238" s="399">
        <v>1.9750380496602276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0.26383283047704742</v>
      </c>
      <c r="DP238" s="399">
        <v>5.8526138048074716E-2</v>
      </c>
      <c r="DQ238" s="399">
        <v>0</v>
      </c>
      <c r="DR238" s="399">
        <v>0</v>
      </c>
      <c r="DS238" s="399"/>
      <c r="DT238" s="399"/>
      <c r="DU238" s="399"/>
      <c r="DV238" s="399">
        <v>-167.58041011039975</v>
      </c>
      <c r="DW238" s="399">
        <v>0</v>
      </c>
      <c r="DX238" s="399">
        <v>0</v>
      </c>
      <c r="DY238" s="399">
        <v>32.265029999999996</v>
      </c>
      <c r="DZ238" s="399">
        <v>0</v>
      </c>
      <c r="EA238" s="399">
        <v>0</v>
      </c>
      <c r="EB238" s="399">
        <v>0</v>
      </c>
      <c r="EC238" s="399">
        <v>29.778028006334154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229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237</v>
      </c>
      <c r="B239" s="399" t="s">
        <v>2339</v>
      </c>
      <c r="C239" s="399" t="s">
        <v>2336</v>
      </c>
      <c r="D239" s="399" t="s">
        <v>1822</v>
      </c>
      <c r="E239" s="399" t="s">
        <v>916</v>
      </c>
      <c r="F239" s="399" t="s">
        <v>1237</v>
      </c>
      <c r="G239" s="399" t="s">
        <v>1237</v>
      </c>
      <c r="H239" s="399" t="s">
        <v>1237</v>
      </c>
      <c r="I239" s="399" t="s">
        <v>1237</v>
      </c>
      <c r="J239" s="399" t="s">
        <v>2337</v>
      </c>
      <c r="K239" s="788">
        <v>44652</v>
      </c>
      <c r="L239" s="399">
        <v>0</v>
      </c>
      <c r="M239" s="399">
        <v>0</v>
      </c>
      <c r="N239" s="399">
        <v>11.178000000000001</v>
      </c>
      <c r="O239" s="399">
        <v>11.178000000000001</v>
      </c>
      <c r="P239" s="399">
        <v>11.178000000000001</v>
      </c>
      <c r="Q239" s="399">
        <v>11.178000000000001</v>
      </c>
      <c r="R239" s="399"/>
      <c r="S239" s="399">
        <v>707.13</v>
      </c>
      <c r="T239" s="399">
        <v>119.97</v>
      </c>
      <c r="U239" s="399"/>
      <c r="V239" s="399">
        <v>9245.3238000000001</v>
      </c>
      <c r="W239" s="399">
        <v>9245.3238000000001</v>
      </c>
      <c r="X239" s="399">
        <v>8149.0973400000003</v>
      </c>
      <c r="Y239" s="399">
        <v>0</v>
      </c>
      <c r="Z239" s="399">
        <v>680.68296392424884</v>
      </c>
      <c r="AA239" s="399">
        <v>0</v>
      </c>
      <c r="AB239" s="399">
        <v>0</v>
      </c>
      <c r="AC239" s="399">
        <v>0</v>
      </c>
      <c r="AD239" s="399">
        <v>1202.0732983458404</v>
      </c>
      <c r="AE239" s="399">
        <v>5693.6590401642807</v>
      </c>
      <c r="AF239" s="399">
        <v>1341.0676122869072</v>
      </c>
      <c r="AG239" s="399">
        <v>0</v>
      </c>
      <c r="AH239" s="399">
        <v>0</v>
      </c>
      <c r="AI239" s="399">
        <v>0</v>
      </c>
      <c r="AJ239" s="399">
        <v>0</v>
      </c>
      <c r="AK239" s="399">
        <v>0</v>
      </c>
      <c r="AL239" s="399">
        <v>105.18750520919808</v>
      </c>
      <c r="AM239" s="399"/>
      <c r="AN239" s="399">
        <v>24.047217440990174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198.66003817488797</v>
      </c>
      <c r="BH239" s="399">
        <v>0</v>
      </c>
      <c r="BI239" s="399">
        <v>0</v>
      </c>
      <c r="BJ239" s="399">
        <v>0</v>
      </c>
      <c r="BK239" s="399">
        <v>5596.24</v>
      </c>
      <c r="BL239" s="399">
        <v>8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>
        <v>1539.7276504617953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8150.5553999999993</v>
      </c>
      <c r="CJ239" s="399">
        <v>-1094.7984000000015</v>
      </c>
      <c r="CK239" s="399"/>
      <c r="CL239" s="399"/>
      <c r="CM239" s="399"/>
      <c r="CN239" s="399"/>
      <c r="CO239" s="399">
        <v>-1096.2264600000005</v>
      </c>
      <c r="CP239" s="399">
        <v>0</v>
      </c>
      <c r="CQ239" s="399">
        <v>30</v>
      </c>
      <c r="CR239" s="399">
        <v>-84.486943239185166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-6.4313083781639762</v>
      </c>
      <c r="DA239" s="399">
        <v>0</v>
      </c>
      <c r="DB239" s="399">
        <v>0</v>
      </c>
      <c r="DC239" s="399">
        <v>0</v>
      </c>
      <c r="DD239" s="399">
        <v>0</v>
      </c>
      <c r="DE239" s="399">
        <v>0</v>
      </c>
      <c r="DF239" s="399">
        <v>0</v>
      </c>
      <c r="DG239" s="399">
        <v>0</v>
      </c>
      <c r="DH239" s="399">
        <v>0</v>
      </c>
      <c r="DI239" s="399">
        <v>-67.103268447118467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-8.963900848244478</v>
      </c>
      <c r="DP239" s="399">
        <v>-1.9884655656576911</v>
      </c>
      <c r="DQ239" s="399">
        <v>0</v>
      </c>
      <c r="DR239" s="399">
        <v>0</v>
      </c>
      <c r="DS239" s="399"/>
      <c r="DT239" s="399"/>
      <c r="DU239" s="399"/>
      <c r="DV239" s="399">
        <v>5693.6590401642807</v>
      </c>
      <c r="DW239" s="399">
        <v>0</v>
      </c>
      <c r="DX239" s="399">
        <v>0</v>
      </c>
      <c r="DY239" s="399">
        <v>-1096.2264599999999</v>
      </c>
      <c r="DZ239" s="399">
        <v>0</v>
      </c>
      <c r="EA239" s="399">
        <v>0</v>
      </c>
      <c r="EB239" s="399">
        <v>0</v>
      </c>
      <c r="EC239" s="399">
        <v>-1011.7288664279722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0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229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238</v>
      </c>
      <c r="B240" s="399" t="s">
        <v>954</v>
      </c>
      <c r="C240" s="399" t="s">
        <v>2336</v>
      </c>
      <c r="D240" s="399" t="s">
        <v>2347</v>
      </c>
      <c r="E240" s="399" t="s">
        <v>892</v>
      </c>
      <c r="F240" s="399" t="s">
        <v>1237</v>
      </c>
      <c r="G240" s="399" t="s">
        <v>1237</v>
      </c>
      <c r="H240" s="399" t="s">
        <v>1237</v>
      </c>
      <c r="I240" s="399" t="s">
        <v>1237</v>
      </c>
      <c r="J240" s="399" t="s">
        <v>2337</v>
      </c>
      <c r="K240" s="788">
        <v>44652</v>
      </c>
      <c r="L240" s="399">
        <v>0</v>
      </c>
      <c r="M240" s="399">
        <v>0</v>
      </c>
      <c r="N240" s="399">
        <v>243.8</v>
      </c>
      <c r="O240" s="399">
        <v>243.8</v>
      </c>
      <c r="P240" s="399">
        <v>243.8</v>
      </c>
      <c r="Q240" s="399">
        <v>243.8</v>
      </c>
      <c r="R240" s="399"/>
      <c r="S240" s="399">
        <v>707.13</v>
      </c>
      <c r="T240" s="399">
        <v>119.97</v>
      </c>
      <c r="U240" s="399"/>
      <c r="V240" s="399">
        <v>201646.97999999998</v>
      </c>
      <c r="W240" s="399">
        <v>201646.97999999998</v>
      </c>
      <c r="X240" s="399">
        <v>177737.51399999997</v>
      </c>
      <c r="Y240" s="399">
        <v>0</v>
      </c>
      <c r="Z240" s="399">
        <v>14846.171641146169</v>
      </c>
      <c r="AA240" s="399">
        <v>0</v>
      </c>
      <c r="AB240" s="399">
        <v>0</v>
      </c>
      <c r="AC240" s="399">
        <v>0</v>
      </c>
      <c r="AD240" s="399">
        <v>26218.05959355125</v>
      </c>
      <c r="AE240" s="399">
        <v>124182.68688424151</v>
      </c>
      <c r="AF240" s="399">
        <v>29249.622819426371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2294.2130765792172</v>
      </c>
      <c r="AM240" s="399"/>
      <c r="AN240" s="399">
        <v>524.48663554423013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4332.9144128679263</v>
      </c>
      <c r="BH240" s="399">
        <v>0</v>
      </c>
      <c r="BI240" s="399">
        <v>0</v>
      </c>
      <c r="BJ240" s="399">
        <v>0</v>
      </c>
      <c r="BK240" s="399">
        <v>35289.949999999997</v>
      </c>
      <c r="BL240" s="399">
        <v>705</v>
      </c>
      <c r="BM240" s="399"/>
      <c r="BN240" s="399"/>
      <c r="BO240" s="399"/>
      <c r="BP240" s="399"/>
      <c r="BQ240" s="399"/>
      <c r="BR240" s="399">
        <v>21327.623999999982</v>
      </c>
      <c r="BS240" s="399"/>
      <c r="BT240" s="399"/>
      <c r="BU240" s="399"/>
      <c r="BV240" s="399">
        <v>33582.5372322943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156409.89000000001</v>
      </c>
      <c r="CJ240" s="399">
        <v>-21042.408000000025</v>
      </c>
      <c r="CK240" s="399"/>
      <c r="CL240" s="399"/>
      <c r="CM240" s="399"/>
      <c r="CN240" s="399"/>
      <c r="CO240" s="399">
        <v>-23909.466000000015</v>
      </c>
      <c r="CP240" s="399">
        <v>0</v>
      </c>
      <c r="CQ240" s="399">
        <v>30</v>
      </c>
      <c r="CR240" s="399">
        <v>-1842.7193381386023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-140.27133499699266</v>
      </c>
      <c r="DA240" s="399">
        <v>0</v>
      </c>
      <c r="DB240" s="399">
        <v>0</v>
      </c>
      <c r="DC240" s="399">
        <v>0</v>
      </c>
      <c r="DD240" s="399">
        <v>0</v>
      </c>
      <c r="DE240" s="399">
        <v>0</v>
      </c>
      <c r="DF240" s="399">
        <v>0</v>
      </c>
      <c r="DG240" s="399">
        <v>0</v>
      </c>
      <c r="DH240" s="399">
        <v>0</v>
      </c>
      <c r="DI240" s="399">
        <v>-1463.5692295050558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-195.50894854195758</v>
      </c>
      <c r="DP240" s="399">
        <v>-43.36982509459159</v>
      </c>
      <c r="DQ240" s="399">
        <v>0</v>
      </c>
      <c r="DR240" s="399">
        <v>0</v>
      </c>
      <c r="DS240" s="399"/>
      <c r="DT240" s="399"/>
      <c r="DU240" s="399"/>
      <c r="DV240" s="399">
        <v>124182.68688424151</v>
      </c>
      <c r="DW240" s="399">
        <v>0</v>
      </c>
      <c r="DX240" s="399">
        <v>0</v>
      </c>
      <c r="DY240" s="399">
        <v>-23909.466000000015</v>
      </c>
      <c r="DZ240" s="399">
        <v>0</v>
      </c>
      <c r="EA240" s="399">
        <v>0</v>
      </c>
      <c r="EB240" s="399">
        <v>0</v>
      </c>
      <c r="EC240" s="399">
        <v>-22066.514370651246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229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239</v>
      </c>
      <c r="B241" s="399" t="s">
        <v>2339</v>
      </c>
      <c r="C241" s="399" t="s">
        <v>2336</v>
      </c>
      <c r="D241" s="399" t="s">
        <v>2347</v>
      </c>
      <c r="E241" s="399" t="s">
        <v>892</v>
      </c>
      <c r="F241" s="399" t="s">
        <v>1237</v>
      </c>
      <c r="G241" s="399" t="s">
        <v>1237</v>
      </c>
      <c r="H241" s="399" t="s">
        <v>1237</v>
      </c>
      <c r="I241" s="399" t="s">
        <v>1237</v>
      </c>
      <c r="J241" s="399" t="s">
        <v>2337</v>
      </c>
      <c r="K241" s="788">
        <v>44652</v>
      </c>
      <c r="L241" s="399">
        <v>0</v>
      </c>
      <c r="M241" s="399">
        <v>0</v>
      </c>
      <c r="N241" s="399">
        <v>17.763999999999999</v>
      </c>
      <c r="O241" s="399">
        <v>17.763999999999999</v>
      </c>
      <c r="P241" s="399">
        <v>17.763999999999999</v>
      </c>
      <c r="Q241" s="399">
        <v>17.763999999999999</v>
      </c>
      <c r="R241" s="399"/>
      <c r="S241" s="399">
        <v>707.13</v>
      </c>
      <c r="T241" s="399">
        <v>119.97</v>
      </c>
      <c r="U241" s="399"/>
      <c r="V241" s="399">
        <v>14692.6044</v>
      </c>
      <c r="W241" s="399">
        <v>14692.6044</v>
      </c>
      <c r="X241" s="399">
        <v>12950.48892</v>
      </c>
      <c r="Y241" s="399">
        <v>0</v>
      </c>
      <c r="Z241" s="399">
        <v>1081.736640825761</v>
      </c>
      <c r="AA241" s="399">
        <v>0</v>
      </c>
      <c r="AB241" s="399">
        <v>0</v>
      </c>
      <c r="AC241" s="399">
        <v>0</v>
      </c>
      <c r="AD241" s="399">
        <v>1910.3265406884511</v>
      </c>
      <c r="AE241" s="399">
        <v>9048.3234200642582</v>
      </c>
      <c r="AF241" s="399">
        <v>2131.215339476169</v>
      </c>
      <c r="AG241" s="399">
        <v>0</v>
      </c>
      <c r="AH241" s="399">
        <v>0</v>
      </c>
      <c r="AI241" s="399">
        <v>0</v>
      </c>
      <c r="AJ241" s="399">
        <v>0</v>
      </c>
      <c r="AK241" s="399">
        <v>0</v>
      </c>
      <c r="AL241" s="399">
        <v>167.16325304492705</v>
      </c>
      <c r="AM241" s="399"/>
      <c r="AN241" s="399">
        <v>38.215671016438485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315.7091535282438</v>
      </c>
      <c r="BH241" s="399">
        <v>0</v>
      </c>
      <c r="BI241" s="399">
        <v>0</v>
      </c>
      <c r="BJ241" s="399">
        <v>0</v>
      </c>
      <c r="BK241" s="399">
        <v>7133.24</v>
      </c>
      <c r="BL241" s="399">
        <v>13</v>
      </c>
      <c r="BM241" s="399"/>
      <c r="BN241" s="399"/>
      <c r="BO241" s="399"/>
      <c r="BP241" s="399"/>
      <c r="BQ241" s="399"/>
      <c r="BR241" s="399">
        <v>1553.9947199999983</v>
      </c>
      <c r="BS241" s="399"/>
      <c r="BT241" s="399"/>
      <c r="BU241" s="399"/>
      <c r="BV241" s="399">
        <v>2446.9244930044129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11393.928000000002</v>
      </c>
      <c r="CJ241" s="399">
        <v>-1535.8070399999979</v>
      </c>
      <c r="CK241" s="399"/>
      <c r="CL241" s="399"/>
      <c r="CM241" s="399"/>
      <c r="CN241" s="399"/>
      <c r="CO241" s="399">
        <v>-1742.1154800000008</v>
      </c>
      <c r="CP241" s="399">
        <v>0</v>
      </c>
      <c r="CQ241" s="399">
        <v>30</v>
      </c>
      <c r="CR241" s="399">
        <v>-134.26606366978649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-10.220590627098318</v>
      </c>
      <c r="DA241" s="399">
        <v>0</v>
      </c>
      <c r="DB241" s="399">
        <v>0</v>
      </c>
      <c r="DC241" s="399">
        <v>0</v>
      </c>
      <c r="DD241" s="399">
        <v>0</v>
      </c>
      <c r="DE241" s="399">
        <v>0</v>
      </c>
      <c r="DF241" s="399">
        <v>0</v>
      </c>
      <c r="DG241" s="399">
        <v>0</v>
      </c>
      <c r="DH241" s="399">
        <v>0</v>
      </c>
      <c r="DI241" s="399">
        <v>-106.64004837131995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-14.245368998766764</v>
      </c>
      <c r="DP241" s="399">
        <v>-3.1600556726018212</v>
      </c>
      <c r="DQ241" s="399">
        <v>0</v>
      </c>
      <c r="DR241" s="399">
        <v>0</v>
      </c>
      <c r="DS241" s="399"/>
      <c r="DT241" s="399"/>
      <c r="DU241" s="399"/>
      <c r="DV241" s="399">
        <v>9048.3234200642582</v>
      </c>
      <c r="DW241" s="399">
        <v>0</v>
      </c>
      <c r="DX241" s="399">
        <v>0</v>
      </c>
      <c r="DY241" s="399">
        <v>-1742.1154800000004</v>
      </c>
      <c r="DZ241" s="399">
        <v>0</v>
      </c>
      <c r="EA241" s="399">
        <v>0</v>
      </c>
      <c r="EB241" s="399">
        <v>0</v>
      </c>
      <c r="EC241" s="399">
        <v>-1607.8324908951963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229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240</v>
      </c>
      <c r="B242" s="399" t="s">
        <v>2339</v>
      </c>
      <c r="C242" s="399" t="s">
        <v>2336</v>
      </c>
      <c r="D242" s="399" t="s">
        <v>2347</v>
      </c>
      <c r="E242" s="399" t="s">
        <v>892</v>
      </c>
      <c r="F242" s="399" t="s">
        <v>1237</v>
      </c>
      <c r="G242" s="399" t="s">
        <v>1237</v>
      </c>
      <c r="H242" s="399" t="s">
        <v>1237</v>
      </c>
      <c r="I242" s="399" t="s">
        <v>1237</v>
      </c>
      <c r="J242" s="399" t="s">
        <v>2337</v>
      </c>
      <c r="K242" s="788">
        <v>44652</v>
      </c>
      <c r="L242" s="399">
        <v>0</v>
      </c>
      <c r="M242" s="399">
        <v>0</v>
      </c>
      <c r="N242" s="399">
        <v>-1.169</v>
      </c>
      <c r="O242" s="399">
        <v>-1.169</v>
      </c>
      <c r="P242" s="399">
        <v>-1.169</v>
      </c>
      <c r="Q242" s="399">
        <v>-1.169</v>
      </c>
      <c r="R242" s="399"/>
      <c r="S242" s="399">
        <v>707.13</v>
      </c>
      <c r="T242" s="399">
        <v>119.97</v>
      </c>
      <c r="U242" s="399"/>
      <c r="V242" s="399">
        <v>-966.87990000000013</v>
      </c>
      <c r="W242" s="399">
        <v>-966.87990000000013</v>
      </c>
      <c r="X242" s="399">
        <v>-852.23606999999993</v>
      </c>
      <c r="Y242" s="399">
        <v>0</v>
      </c>
      <c r="Z242" s="399">
        <v>-71.186114226824742</v>
      </c>
      <c r="AA242" s="399">
        <v>0</v>
      </c>
      <c r="AB242" s="399">
        <v>0</v>
      </c>
      <c r="AC242" s="399">
        <v>0</v>
      </c>
      <c r="AD242" s="399">
        <v>-125.7133374276514</v>
      </c>
      <c r="AE242" s="399">
        <v>-595.44528698801616</v>
      </c>
      <c r="AF242" s="399">
        <v>-140.24942196845541</v>
      </c>
      <c r="AG242" s="399">
        <v>0</v>
      </c>
      <c r="AH242" s="399">
        <v>0</v>
      </c>
      <c r="AI242" s="399">
        <v>0</v>
      </c>
      <c r="AJ242" s="399">
        <v>0</v>
      </c>
      <c r="AK242" s="399">
        <v>0</v>
      </c>
      <c r="AL242" s="399">
        <v>-11.000554087453262</v>
      </c>
      <c r="AM242" s="399"/>
      <c r="AN242" s="399">
        <v>-2.514868240160808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-20.775951389018072</v>
      </c>
      <c r="BH242" s="399">
        <v>0</v>
      </c>
      <c r="BI242" s="399">
        <v>0</v>
      </c>
      <c r="BJ242" s="399">
        <v>0</v>
      </c>
      <c r="BK242" s="399">
        <v>-312.58</v>
      </c>
      <c r="BL242" s="399">
        <v>2</v>
      </c>
      <c r="BM242" s="399"/>
      <c r="BN242" s="399"/>
      <c r="BO242" s="399"/>
      <c r="BP242" s="399"/>
      <c r="BQ242" s="399"/>
      <c r="BR242" s="399">
        <v>-102.26411999999991</v>
      </c>
      <c r="BS242" s="399"/>
      <c r="BT242" s="399"/>
      <c r="BU242" s="399"/>
      <c r="BV242" s="399">
        <v>-161.02537335747348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-750.61349999999993</v>
      </c>
      <c r="CJ242" s="399">
        <v>100.22484000000009</v>
      </c>
      <c r="CK242" s="399"/>
      <c r="CL242" s="399"/>
      <c r="CM242" s="399"/>
      <c r="CN242" s="399"/>
      <c r="CO242" s="399">
        <v>114.64383000000007</v>
      </c>
      <c r="CP242" s="399">
        <v>0</v>
      </c>
      <c r="CQ242" s="399">
        <v>30</v>
      </c>
      <c r="CR242" s="399">
        <v>8.8356805015751547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0.67258896887400965</v>
      </c>
      <c r="DA242" s="399">
        <v>0</v>
      </c>
      <c r="DB242" s="399">
        <v>0</v>
      </c>
      <c r="DC242" s="399">
        <v>0</v>
      </c>
      <c r="DD242" s="399">
        <v>0</v>
      </c>
      <c r="DE242" s="399">
        <v>0</v>
      </c>
      <c r="DF242" s="399">
        <v>0</v>
      </c>
      <c r="DG242" s="399">
        <v>0</v>
      </c>
      <c r="DH242" s="399">
        <v>0</v>
      </c>
      <c r="DI242" s="399">
        <v>7.0176883892182502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0.93744856786525332</v>
      </c>
      <c r="DP242" s="399">
        <v>0.20795457561762731</v>
      </c>
      <c r="DQ242" s="399">
        <v>0</v>
      </c>
      <c r="DR242" s="399">
        <v>0</v>
      </c>
      <c r="DS242" s="399"/>
      <c r="DT242" s="399"/>
      <c r="DU242" s="399"/>
      <c r="DV242" s="399">
        <v>-595.44528698801616</v>
      </c>
      <c r="DW242" s="399">
        <v>0</v>
      </c>
      <c r="DX242" s="399">
        <v>0</v>
      </c>
      <c r="DY242" s="399">
        <v>114.64383000000009</v>
      </c>
      <c r="DZ242" s="399">
        <v>0</v>
      </c>
      <c r="EA242" s="399">
        <v>0</v>
      </c>
      <c r="EB242" s="399">
        <v>0</v>
      </c>
      <c r="EC242" s="399">
        <v>105.80703568208094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229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241</v>
      </c>
      <c r="B243" s="399" t="s">
        <v>954</v>
      </c>
      <c r="C243" s="399" t="s">
        <v>2336</v>
      </c>
      <c r="D243" s="399" t="s">
        <v>1822</v>
      </c>
      <c r="E243" s="399" t="s">
        <v>2348</v>
      </c>
      <c r="F243" s="399" t="s">
        <v>1237</v>
      </c>
      <c r="G243" s="399" t="s">
        <v>1237</v>
      </c>
      <c r="H243" s="399" t="s">
        <v>1237</v>
      </c>
      <c r="I243" s="399" t="s">
        <v>1237</v>
      </c>
      <c r="J243" s="399" t="s">
        <v>2337</v>
      </c>
      <c r="K243" s="788">
        <v>44652</v>
      </c>
      <c r="L243" s="399">
        <v>0</v>
      </c>
      <c r="M243" s="399">
        <v>0</v>
      </c>
      <c r="N243" s="399">
        <v>25.792000000000002</v>
      </c>
      <c r="O243" s="399">
        <v>25.792000000000002</v>
      </c>
      <c r="P243" s="399">
        <v>25.792000000000002</v>
      </c>
      <c r="Q243" s="399">
        <v>25.792000000000002</v>
      </c>
      <c r="R243" s="399"/>
      <c r="S243" s="399">
        <v>707.13</v>
      </c>
      <c r="T243" s="399">
        <v>119.97</v>
      </c>
      <c r="U243" s="399"/>
      <c r="V243" s="399">
        <v>21332.563200000001</v>
      </c>
      <c r="W243" s="399">
        <v>21332.563200000001</v>
      </c>
      <c r="X243" s="399">
        <v>18803.141759999999</v>
      </c>
      <c r="Y243" s="399">
        <v>0</v>
      </c>
      <c r="Z243" s="399">
        <v>1570.6007340789254</v>
      </c>
      <c r="AA243" s="399">
        <v>0</v>
      </c>
      <c r="AB243" s="399">
        <v>0</v>
      </c>
      <c r="AC243" s="399">
        <v>0</v>
      </c>
      <c r="AD243" s="399">
        <v>2773.651325007686</v>
      </c>
      <c r="AE243" s="399">
        <v>13137.489171937479</v>
      </c>
      <c r="AF243" s="399">
        <v>3094.36534765646</v>
      </c>
      <c r="AG243" s="399">
        <v>0</v>
      </c>
      <c r="AH243" s="399">
        <v>0</v>
      </c>
      <c r="AI243" s="399">
        <v>0</v>
      </c>
      <c r="AJ243" s="399">
        <v>0</v>
      </c>
      <c r="AK243" s="399">
        <v>0</v>
      </c>
      <c r="AL243" s="399">
        <v>242.70854664122714</v>
      </c>
      <c r="AM243" s="399"/>
      <c r="AN243" s="399">
        <v>55.486297391127081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458.38608915787353</v>
      </c>
      <c r="BH243" s="399">
        <v>0</v>
      </c>
      <c r="BI243" s="399">
        <v>0</v>
      </c>
      <c r="BJ243" s="399">
        <v>0</v>
      </c>
      <c r="BK243" s="399">
        <v>6731.35</v>
      </c>
      <c r="BL243" s="399">
        <v>83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>
        <v>3552.7514368143334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18801.683699999998</v>
      </c>
      <c r="CJ243" s="399">
        <v>-2530.9094999999979</v>
      </c>
      <c r="CK243" s="399"/>
      <c r="CL243" s="399"/>
      <c r="CM243" s="399"/>
      <c r="CN243" s="399"/>
      <c r="CO243" s="399">
        <v>-2529.4214400000014</v>
      </c>
      <c r="CP243" s="399">
        <v>0</v>
      </c>
      <c r="CQ243" s="399">
        <v>30</v>
      </c>
      <c r="CR243" s="399">
        <v>-194.94428699454693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-14.839533520272198</v>
      </c>
      <c r="DA243" s="399">
        <v>0</v>
      </c>
      <c r="DB243" s="399">
        <v>0</v>
      </c>
      <c r="DC243" s="399">
        <v>0</v>
      </c>
      <c r="DD243" s="399">
        <v>0</v>
      </c>
      <c r="DE243" s="399">
        <v>0</v>
      </c>
      <c r="DF243" s="399">
        <v>0</v>
      </c>
      <c r="DG243" s="399">
        <v>0</v>
      </c>
      <c r="DH243" s="399">
        <v>0</v>
      </c>
      <c r="DI243" s="399">
        <v>-154.83337804509597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-20.683210831805496</v>
      </c>
      <c r="DP243" s="399">
        <v>-4.5881645973736909</v>
      </c>
      <c r="DQ243" s="399">
        <v>0</v>
      </c>
      <c r="DR243" s="399">
        <v>0</v>
      </c>
      <c r="DS243" s="399"/>
      <c r="DT243" s="399"/>
      <c r="DU243" s="399"/>
      <c r="DV243" s="399">
        <v>13137.489171937479</v>
      </c>
      <c r="DW243" s="399">
        <v>0</v>
      </c>
      <c r="DX243" s="399">
        <v>0</v>
      </c>
      <c r="DY243" s="399">
        <v>-2529.4214400000001</v>
      </c>
      <c r="DZ243" s="399">
        <v>0</v>
      </c>
      <c r="EA243" s="399">
        <v>0</v>
      </c>
      <c r="EB243" s="399">
        <v>0</v>
      </c>
      <c r="EC243" s="399">
        <v>-2334.4525785391197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0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229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242</v>
      </c>
      <c r="B244" s="399" t="s">
        <v>954</v>
      </c>
      <c r="C244" s="399" t="s">
        <v>2336</v>
      </c>
      <c r="D244" s="399" t="s">
        <v>2349</v>
      </c>
      <c r="E244" s="399" t="s">
        <v>2350</v>
      </c>
      <c r="F244" s="399" t="s">
        <v>2351</v>
      </c>
      <c r="G244" s="399" t="s">
        <v>1237</v>
      </c>
      <c r="H244" s="399" t="s">
        <v>1237</v>
      </c>
      <c r="I244" s="399" t="s">
        <v>1237</v>
      </c>
      <c r="J244" s="399" t="s">
        <v>2337</v>
      </c>
      <c r="K244" s="788">
        <v>44652</v>
      </c>
      <c r="L244" s="399">
        <v>0</v>
      </c>
      <c r="M244" s="399">
        <v>0</v>
      </c>
      <c r="N244" s="399">
        <v>84.697999999999993</v>
      </c>
      <c r="O244" s="399">
        <v>84.697999999999993</v>
      </c>
      <c r="P244" s="399">
        <v>84.697999999999993</v>
      </c>
      <c r="Q244" s="399">
        <v>84.697999999999993</v>
      </c>
      <c r="R244" s="399"/>
      <c r="S244" s="399">
        <v>388.92</v>
      </c>
      <c r="T244" s="399">
        <v>65.989999999999995</v>
      </c>
      <c r="U244" s="399"/>
      <c r="V244" s="399">
        <v>38529.967179999992</v>
      </c>
      <c r="W244" s="399">
        <v>38529.967179999992</v>
      </c>
      <c r="X244" s="399">
        <v>33961.357059999995</v>
      </c>
      <c r="Y244" s="399">
        <v>0</v>
      </c>
      <c r="Z244" s="399">
        <v>2836.7209807792856</v>
      </c>
      <c r="AA244" s="399">
        <v>0</v>
      </c>
      <c r="AB244" s="399">
        <v>0</v>
      </c>
      <c r="AC244" s="399">
        <v>0</v>
      </c>
      <c r="AD244" s="399">
        <v>5009.5958420838015</v>
      </c>
      <c r="AE244" s="399">
        <v>23728.112664260949</v>
      </c>
      <c r="AF244" s="399">
        <v>5588.8494850610123</v>
      </c>
      <c r="AG244" s="399">
        <v>0</v>
      </c>
      <c r="AH244" s="399">
        <v>0</v>
      </c>
      <c r="AI244" s="399">
        <v>0</v>
      </c>
      <c r="AJ244" s="399">
        <v>0</v>
      </c>
      <c r="AK244" s="399">
        <v>0</v>
      </c>
      <c r="AL244" s="399">
        <v>438.36502271558072</v>
      </c>
      <c r="AM244" s="399"/>
      <c r="AN244" s="399">
        <v>100.21588589634499</v>
      </c>
      <c r="AO244" s="399">
        <v>0</v>
      </c>
      <c r="AP244" s="399">
        <v>0</v>
      </c>
      <c r="AQ244" s="399">
        <v>0</v>
      </c>
      <c r="AR244" s="399">
        <v>0</v>
      </c>
      <c r="AS244" s="399">
        <v>0</v>
      </c>
      <c r="AT244" s="399">
        <v>0</v>
      </c>
      <c r="AU244" s="399">
        <v>0</v>
      </c>
      <c r="AV244" s="399">
        <v>0</v>
      </c>
      <c r="AW244" s="399">
        <v>0</v>
      </c>
      <c r="AX244" s="399">
        <v>0</v>
      </c>
      <c r="AY244" s="399">
        <v>0</v>
      </c>
      <c r="AZ244" s="399">
        <v>0</v>
      </c>
      <c r="BA244" s="399"/>
      <c r="BB244" s="399">
        <v>0</v>
      </c>
      <c r="BC244" s="399">
        <v>0</v>
      </c>
      <c r="BD244" s="399">
        <v>0</v>
      </c>
      <c r="BE244" s="399">
        <v>0</v>
      </c>
      <c r="BF244" s="399">
        <v>0</v>
      </c>
      <c r="BG244" s="399">
        <v>827.90833354223957</v>
      </c>
      <c r="BH244" s="399">
        <v>0</v>
      </c>
      <c r="BI244" s="399">
        <v>0</v>
      </c>
      <c r="BJ244" s="399">
        <v>0</v>
      </c>
      <c r="BK244" s="399">
        <v>14014.32</v>
      </c>
      <c r="BL244" s="399">
        <v>2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>
        <v>6416.7578186032515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33962.159000000007</v>
      </c>
      <c r="CJ244" s="399">
        <v>-4567.8381799999916</v>
      </c>
      <c r="CK244" s="399"/>
      <c r="CL244" s="399"/>
      <c r="CM244" s="399"/>
      <c r="CN244" s="399"/>
      <c r="CO244" s="399">
        <v>-4568.6101199999994</v>
      </c>
      <c r="CP244" s="399">
        <v>0</v>
      </c>
      <c r="CQ244" s="399">
        <v>30</v>
      </c>
      <c r="CR244" s="399">
        <v>-352.09619924494655</v>
      </c>
      <c r="CS244" s="399">
        <v>0</v>
      </c>
      <c r="CT244" s="399">
        <v>0</v>
      </c>
      <c r="CU244" s="399">
        <v>0</v>
      </c>
      <c r="CV244" s="399">
        <v>0</v>
      </c>
      <c r="CW244" s="399">
        <v>0</v>
      </c>
      <c r="CX244" s="399">
        <v>0</v>
      </c>
      <c r="CY244" s="399">
        <v>0</v>
      </c>
      <c r="CZ244" s="399">
        <v>-26.802238894049879</v>
      </c>
      <c r="DA244" s="399">
        <v>0</v>
      </c>
      <c r="DB244" s="399">
        <v>0</v>
      </c>
      <c r="DC244" s="399">
        <v>0</v>
      </c>
      <c r="DD244" s="399">
        <v>0</v>
      </c>
      <c r="DE244" s="399">
        <v>0</v>
      </c>
      <c r="DF244" s="399">
        <v>0</v>
      </c>
      <c r="DG244" s="399">
        <v>0</v>
      </c>
      <c r="DH244" s="399">
        <v>0</v>
      </c>
      <c r="DI244" s="399">
        <v>-279.65037994397471</v>
      </c>
      <c r="DJ244" s="399"/>
      <c r="DK244" s="399">
        <v>0</v>
      </c>
      <c r="DL244" s="399">
        <v>0</v>
      </c>
      <c r="DM244" s="399">
        <v>0</v>
      </c>
      <c r="DN244" s="399">
        <v>0</v>
      </c>
      <c r="DO244" s="399">
        <v>-37.35672398680714</v>
      </c>
      <c r="DP244" s="399">
        <v>-8.2868564201149866</v>
      </c>
      <c r="DQ244" s="399">
        <v>0</v>
      </c>
      <c r="DR244" s="399">
        <v>0</v>
      </c>
      <c r="DS244" s="399"/>
      <c r="DT244" s="399"/>
      <c r="DU244" s="399"/>
      <c r="DV244" s="399">
        <v>23728.112664260949</v>
      </c>
      <c r="DW244" s="399">
        <v>0</v>
      </c>
      <c r="DX244" s="399">
        <v>0</v>
      </c>
      <c r="DY244" s="399">
        <v>-4568.6101199999976</v>
      </c>
      <c r="DZ244" s="399">
        <v>0</v>
      </c>
      <c r="EA244" s="399">
        <v>0</v>
      </c>
      <c r="EB244" s="399">
        <v>0</v>
      </c>
      <c r="EC244" s="399">
        <v>-4216.3424888883237</v>
      </c>
      <c r="ED244" s="399">
        <v>0</v>
      </c>
      <c r="EE244" s="399">
        <v>0</v>
      </c>
      <c r="EF244" s="399">
        <v>0</v>
      </c>
      <c r="EG244" s="399">
        <v>0</v>
      </c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>
        <v>0</v>
      </c>
      <c r="EN244" s="399">
        <v>0</v>
      </c>
      <c r="EO244" s="399">
        <v>0</v>
      </c>
      <c r="EP244" s="399">
        <v>0</v>
      </c>
      <c r="EQ244" s="399">
        <v>0</v>
      </c>
      <c r="ER244" s="399">
        <v>0</v>
      </c>
      <c r="ES244" s="399">
        <v>0</v>
      </c>
      <c r="ET244" s="399">
        <v>0</v>
      </c>
      <c r="EU244" s="399">
        <v>0</v>
      </c>
      <c r="EV244" s="399">
        <v>229</v>
      </c>
      <c r="EW244" s="399">
        <v>0</v>
      </c>
      <c r="EX244" s="399">
        <v>0</v>
      </c>
      <c r="EY244" s="399">
        <v>0</v>
      </c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243</v>
      </c>
      <c r="B245" s="399" t="s">
        <v>954</v>
      </c>
      <c r="C245" s="399" t="s">
        <v>2336</v>
      </c>
      <c r="D245" s="399" t="s">
        <v>1822</v>
      </c>
      <c r="E245" s="399" t="s">
        <v>919</v>
      </c>
      <c r="F245" s="399" t="s">
        <v>2352</v>
      </c>
      <c r="G245" s="399" t="s">
        <v>1237</v>
      </c>
      <c r="H245" s="399" t="s">
        <v>1237</v>
      </c>
      <c r="I245" s="399" t="s">
        <v>1237</v>
      </c>
      <c r="J245" s="399" t="s">
        <v>2337</v>
      </c>
      <c r="K245" s="788">
        <v>44652</v>
      </c>
      <c r="L245" s="399">
        <v>0</v>
      </c>
      <c r="M245" s="399">
        <v>0</v>
      </c>
      <c r="N245" s="399">
        <v>4.95</v>
      </c>
      <c r="O245" s="399">
        <v>4.6529999999999996</v>
      </c>
      <c r="P245" s="399">
        <v>4.95</v>
      </c>
      <c r="Q245" s="399">
        <v>4.6529999999999996</v>
      </c>
      <c r="R245" s="399"/>
      <c r="S245" s="399">
        <v>707.13</v>
      </c>
      <c r="T245" s="399">
        <v>119.97</v>
      </c>
      <c r="U245" s="399"/>
      <c r="V245" s="399">
        <v>4094.1450000000004</v>
      </c>
      <c r="W245" s="399">
        <v>4094.1450000000004</v>
      </c>
      <c r="X245" s="399">
        <v>3608.6984999999995</v>
      </c>
      <c r="Y245" s="399">
        <v>0</v>
      </c>
      <c r="Z245" s="399">
        <v>301.42965391170441</v>
      </c>
      <c r="AA245" s="399">
        <v>0</v>
      </c>
      <c r="AB245" s="399">
        <v>0</v>
      </c>
      <c r="AC245" s="399">
        <v>0</v>
      </c>
      <c r="AD245" s="399">
        <v>532.31909347038015</v>
      </c>
      <c r="AE245" s="399">
        <v>2521.3465958859538</v>
      </c>
      <c r="AF245" s="399">
        <v>593.87052073896859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46.580618248839727</v>
      </c>
      <c r="AM245" s="399"/>
      <c r="AN245" s="399">
        <v>10.648928818473909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87.973446856834443</v>
      </c>
      <c r="BH245" s="399">
        <v>0</v>
      </c>
      <c r="BI245" s="399">
        <v>0</v>
      </c>
      <c r="BJ245" s="399">
        <v>0</v>
      </c>
      <c r="BK245" s="399">
        <v>1283.42</v>
      </c>
      <c r="BL245" s="399">
        <v>7</v>
      </c>
      <c r="BM245" s="399"/>
      <c r="BN245" s="399"/>
      <c r="BO245" s="399"/>
      <c r="BP245" s="399"/>
      <c r="BQ245" s="399">
        <v>216.52191000000045</v>
      </c>
      <c r="BR245" s="399"/>
      <c r="BS245" s="399"/>
      <c r="BT245" s="399"/>
      <c r="BU245" s="399"/>
      <c r="BV245" s="399">
        <v>681.84396759580306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3389.9894999999997</v>
      </c>
      <c r="CJ245" s="399">
        <v>-458.53680000000077</v>
      </c>
      <c r="CK245" s="399"/>
      <c r="CL245" s="399"/>
      <c r="CM245" s="399"/>
      <c r="CN245" s="399"/>
      <c r="CO245" s="399">
        <v>-485.44650000000024</v>
      </c>
      <c r="CP245" s="399">
        <v>0</v>
      </c>
      <c r="CQ245" s="399">
        <v>30</v>
      </c>
      <c r="CR245" s="399">
        <v>-37.413702722666585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-2.8480029049840141</v>
      </c>
      <c r="DA245" s="399">
        <v>0</v>
      </c>
      <c r="DB245" s="399">
        <v>0</v>
      </c>
      <c r="DC245" s="399">
        <v>0</v>
      </c>
      <c r="DD245" s="399">
        <v>0</v>
      </c>
      <c r="DE245" s="399">
        <v>0</v>
      </c>
      <c r="DF245" s="399">
        <v>0</v>
      </c>
      <c r="DG245" s="399">
        <v>0</v>
      </c>
      <c r="DH245" s="399">
        <v>0</v>
      </c>
      <c r="DI245" s="399">
        <v>-29.7156180723955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-3.969521309609064</v>
      </c>
      <c r="DP245" s="399">
        <v>-0.88056043567772058</v>
      </c>
      <c r="DQ245" s="399">
        <v>0</v>
      </c>
      <c r="DR245" s="399">
        <v>0</v>
      </c>
      <c r="DS245" s="399"/>
      <c r="DT245" s="399"/>
      <c r="DU245" s="399"/>
      <c r="DV245" s="399">
        <v>2521.3465958859538</v>
      </c>
      <c r="DW245" s="399">
        <v>0</v>
      </c>
      <c r="DX245" s="399">
        <v>0</v>
      </c>
      <c r="DY245" s="399">
        <v>-485.44650000000047</v>
      </c>
      <c r="DZ245" s="399">
        <v>0</v>
      </c>
      <c r="EA245" s="399">
        <v>0</v>
      </c>
      <c r="EB245" s="399">
        <v>0</v>
      </c>
      <c r="EC245" s="399">
        <v>-448.02808094636475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229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244</v>
      </c>
      <c r="B246" s="399" t="s">
        <v>954</v>
      </c>
      <c r="C246" s="399" t="s">
        <v>2344</v>
      </c>
      <c r="D246" s="399" t="s">
        <v>533</v>
      </c>
      <c r="E246" s="399" t="s">
        <v>919</v>
      </c>
      <c r="F246" s="399" t="s">
        <v>2352</v>
      </c>
      <c r="G246" s="399" t="s">
        <v>1237</v>
      </c>
      <c r="H246" s="399" t="s">
        <v>1237</v>
      </c>
      <c r="I246" s="399" t="s">
        <v>891</v>
      </c>
      <c r="J246" s="399" t="s">
        <v>2337</v>
      </c>
      <c r="K246" s="788">
        <v>44652</v>
      </c>
      <c r="L246" s="399">
        <v>0</v>
      </c>
      <c r="M246" s="399">
        <v>0</v>
      </c>
      <c r="N246" s="399">
        <v>3.347</v>
      </c>
      <c r="O246" s="399">
        <v>3.1461800000000002</v>
      </c>
      <c r="P246" s="399">
        <v>3.347</v>
      </c>
      <c r="Q246" s="399">
        <v>3.1461800000000002</v>
      </c>
      <c r="R246" s="399"/>
      <c r="S246" s="399">
        <v>3312.96</v>
      </c>
      <c r="T246" s="399">
        <v>119.97</v>
      </c>
      <c r="U246" s="399"/>
      <c r="V246" s="399">
        <v>11490.01671</v>
      </c>
      <c r="W246" s="399">
        <v>11490.01671</v>
      </c>
      <c r="X246" s="399">
        <v>9973.4240700000009</v>
      </c>
      <c r="Y246" s="399">
        <v>0</v>
      </c>
      <c r="Z246" s="399">
        <v>177.31919089473786</v>
      </c>
      <c r="AA246" s="399">
        <v>0</v>
      </c>
      <c r="AB246" s="399">
        <v>0</v>
      </c>
      <c r="AC246" s="399">
        <v>0</v>
      </c>
      <c r="AD246" s="399">
        <v>2502.347748029807</v>
      </c>
      <c r="AE246" s="399">
        <v>8344.7096439411234</v>
      </c>
      <c r="AF246" s="399">
        <v>401.55245109360158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31.49602611694274</v>
      </c>
      <c r="AM246" s="399"/>
      <c r="AN246" s="399">
        <v>2.8139299790746297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29.801177264239428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>
        <v>598.40544419999935</v>
      </c>
      <c r="BR246" s="399"/>
      <c r="BS246" s="399"/>
      <c r="BT246" s="399"/>
      <c r="BU246" s="399"/>
      <c r="BV246" s="399">
        <v>431.35362835784099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9386.4015000000018</v>
      </c>
      <c r="CJ246" s="399">
        <v>-1414.244207400001</v>
      </c>
      <c r="CK246" s="399"/>
      <c r="CL246" s="399"/>
      <c r="CM246" s="399"/>
      <c r="CN246" s="399"/>
      <c r="CO246" s="399">
        <v>-1516.5926399999996</v>
      </c>
      <c r="CP246" s="399">
        <v>0</v>
      </c>
      <c r="CQ246" s="399">
        <v>30</v>
      </c>
      <c r="CR246" s="399">
        <v>-33.785260026674678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-13.388010580670198</v>
      </c>
      <c r="DA246" s="399">
        <v>0</v>
      </c>
      <c r="DB246" s="399">
        <v>0</v>
      </c>
      <c r="DC246" s="399">
        <v>0</v>
      </c>
      <c r="DD246" s="399">
        <v>0</v>
      </c>
      <c r="DE246" s="399">
        <v>0</v>
      </c>
      <c r="DF246" s="399">
        <v>0</v>
      </c>
      <c r="DG246" s="399">
        <v>0</v>
      </c>
      <c r="DH246" s="399">
        <v>0</v>
      </c>
      <c r="DI246" s="399">
        <v>-17.480527496732719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-2.6840379440932445</v>
      </c>
      <c r="DP246" s="399">
        <v>-0.23268400517824217</v>
      </c>
      <c r="DQ246" s="399">
        <v>0</v>
      </c>
      <c r="DR246" s="399">
        <v>0</v>
      </c>
      <c r="DS246" s="399"/>
      <c r="DT246" s="399"/>
      <c r="DU246" s="399"/>
      <c r="DV246" s="399">
        <v>8344.7096439411234</v>
      </c>
      <c r="DW246" s="399">
        <v>0</v>
      </c>
      <c r="DX246" s="399">
        <v>0</v>
      </c>
      <c r="DY246" s="399">
        <v>-1516.5926399999989</v>
      </c>
      <c r="DZ246" s="399">
        <v>0</v>
      </c>
      <c r="EA246" s="399">
        <v>0</v>
      </c>
      <c r="EB246" s="399">
        <v>0</v>
      </c>
      <c r="EC246" s="399">
        <v>-1482.8045671824193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229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245</v>
      </c>
      <c r="B247" s="399" t="s">
        <v>954</v>
      </c>
      <c r="C247" s="399" t="s">
        <v>2344</v>
      </c>
      <c r="D247" s="399" t="s">
        <v>533</v>
      </c>
      <c r="E247" s="399" t="s">
        <v>919</v>
      </c>
      <c r="F247" s="399" t="s">
        <v>2352</v>
      </c>
      <c r="G247" s="399" t="s">
        <v>1237</v>
      </c>
      <c r="H247" s="399" t="s">
        <v>1237</v>
      </c>
      <c r="I247" s="399" t="s">
        <v>2322</v>
      </c>
      <c r="J247" s="399" t="s">
        <v>2337</v>
      </c>
      <c r="K247" s="788">
        <v>44652</v>
      </c>
      <c r="L247" s="399">
        <v>0</v>
      </c>
      <c r="M247" s="399">
        <v>0</v>
      </c>
      <c r="N247" s="399">
        <v>32.734999999999999</v>
      </c>
      <c r="O247" s="399">
        <v>30.770900000000001</v>
      </c>
      <c r="P247" s="399">
        <v>32.734999999999999</v>
      </c>
      <c r="Q247" s="399">
        <v>30.770900000000001</v>
      </c>
      <c r="R247" s="399"/>
      <c r="S247" s="399">
        <v>72.13</v>
      </c>
      <c r="T247" s="399">
        <v>119.97</v>
      </c>
      <c r="U247" s="399"/>
      <c r="V247" s="399">
        <v>6288.3935000000001</v>
      </c>
      <c r="W247" s="399">
        <v>6288.3935000000001</v>
      </c>
      <c r="X247" s="399">
        <v>6089.0373500000005</v>
      </c>
      <c r="Y247" s="399">
        <v>0</v>
      </c>
      <c r="Z247" s="399">
        <v>1734.2526782011485</v>
      </c>
      <c r="AA247" s="399">
        <v>0</v>
      </c>
      <c r="AB247" s="399">
        <v>0</v>
      </c>
      <c r="AC247" s="399">
        <v>0</v>
      </c>
      <c r="AD247" s="399">
        <v>0</v>
      </c>
      <c r="AE247" s="399">
        <v>0</v>
      </c>
      <c r="AF247" s="399">
        <v>3927.3437366444718</v>
      </c>
      <c r="AG247" s="399">
        <v>0</v>
      </c>
      <c r="AH247" s="399">
        <v>0</v>
      </c>
      <c r="AI247" s="399">
        <v>0</v>
      </c>
      <c r="AJ247" s="399">
        <v>0</v>
      </c>
      <c r="AK247" s="399">
        <v>0</v>
      </c>
      <c r="AL247" s="399">
        <v>308.04374512641789</v>
      </c>
      <c r="AM247" s="399"/>
      <c r="AN247" s="399">
        <v>27.521361776219901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291.46744479978418</v>
      </c>
      <c r="BH247" s="399">
        <v>0</v>
      </c>
      <c r="BI247" s="399">
        <v>0</v>
      </c>
      <c r="BJ247" s="399">
        <v>0</v>
      </c>
      <c r="BK247" s="399">
        <v>0</v>
      </c>
      <c r="BL247" s="399">
        <v>0</v>
      </c>
      <c r="BM247" s="399"/>
      <c r="BN247" s="399"/>
      <c r="BO247" s="399"/>
      <c r="BP247" s="399"/>
      <c r="BQ247" s="399">
        <v>365.34224099999972</v>
      </c>
      <c r="BR247" s="399"/>
      <c r="BS247" s="399"/>
      <c r="BT247" s="399"/>
      <c r="BU247" s="399"/>
      <c r="BV247" s="399">
        <v>4218.8111814442564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5723.5277000000006</v>
      </c>
      <c r="CJ247" s="399">
        <v>-187.5921900000003</v>
      </c>
      <c r="CK247" s="399"/>
      <c r="CL247" s="399"/>
      <c r="CM247" s="399"/>
      <c r="CN247" s="399"/>
      <c r="CO247" s="399">
        <v>-199.35614999999964</v>
      </c>
      <c r="CP247" s="399">
        <v>0</v>
      </c>
      <c r="CQ247" s="399">
        <v>30</v>
      </c>
      <c r="CR247" s="399">
        <v>-199.49326579472745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0</v>
      </c>
      <c r="DA247" s="399">
        <v>0</v>
      </c>
      <c r="DB247" s="399">
        <v>0</v>
      </c>
      <c r="DC247" s="399">
        <v>0</v>
      </c>
      <c r="DD247" s="399">
        <v>0</v>
      </c>
      <c r="DE247" s="399">
        <v>0</v>
      </c>
      <c r="DF247" s="399">
        <v>0</v>
      </c>
      <c r="DG247" s="399">
        <v>0</v>
      </c>
      <c r="DH247" s="399">
        <v>0</v>
      </c>
      <c r="DI247" s="399">
        <v>-170.96655739633889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-26.25096567071779</v>
      </c>
      <c r="DP247" s="399">
        <v>-2.2757427276694848</v>
      </c>
      <c r="DQ247" s="399">
        <v>0</v>
      </c>
      <c r="DR247" s="399">
        <v>0</v>
      </c>
      <c r="DS247" s="399"/>
      <c r="DT247" s="399"/>
      <c r="DU247" s="399"/>
      <c r="DV247" s="399">
        <v>0</v>
      </c>
      <c r="DW247" s="399">
        <v>0</v>
      </c>
      <c r="DX247" s="399">
        <v>0</v>
      </c>
      <c r="DY247" s="399">
        <v>-199.35614999999962</v>
      </c>
      <c r="DZ247" s="399">
        <v>0</v>
      </c>
      <c r="EA247" s="399">
        <v>0</v>
      </c>
      <c r="EB247" s="399">
        <v>0</v>
      </c>
      <c r="EC247" s="399">
        <v>0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229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246</v>
      </c>
      <c r="B248" s="399" t="s">
        <v>954</v>
      </c>
      <c r="C248" s="399" t="s">
        <v>2344</v>
      </c>
      <c r="D248" s="399" t="s">
        <v>533</v>
      </c>
      <c r="E248" s="399" t="s">
        <v>919</v>
      </c>
      <c r="F248" s="399" t="s">
        <v>2352</v>
      </c>
      <c r="G248" s="399" t="s">
        <v>1237</v>
      </c>
      <c r="H248" s="399" t="s">
        <v>1237</v>
      </c>
      <c r="I248" s="399" t="s">
        <v>1237</v>
      </c>
      <c r="J248" s="399" t="s">
        <v>2337</v>
      </c>
      <c r="K248" s="788">
        <v>44652</v>
      </c>
      <c r="L248" s="399">
        <v>100</v>
      </c>
      <c r="M248" s="399">
        <v>94</v>
      </c>
      <c r="N248" s="399">
        <v>0</v>
      </c>
      <c r="O248" s="399">
        <v>0</v>
      </c>
      <c r="P248" s="399">
        <v>0</v>
      </c>
      <c r="Q248" s="399">
        <v>0</v>
      </c>
      <c r="R248" s="399">
        <v>46.29</v>
      </c>
      <c r="S248" s="399"/>
      <c r="T248" s="399"/>
      <c r="U248" s="399">
        <v>4629</v>
      </c>
      <c r="V248" s="399"/>
      <c r="W248" s="399">
        <v>4629</v>
      </c>
      <c r="X248" s="399">
        <v>4115</v>
      </c>
      <c r="Y248" s="399">
        <v>0</v>
      </c>
      <c r="Z248" s="399">
        <v>0</v>
      </c>
      <c r="AA248" s="399">
        <v>0</v>
      </c>
      <c r="AB248" s="399">
        <v>0</v>
      </c>
      <c r="AC248" s="399">
        <v>0</v>
      </c>
      <c r="AD248" s="399">
        <v>1791.3012373515901</v>
      </c>
      <c r="AE248" s="399">
        <v>2837.3428309380402</v>
      </c>
      <c r="AF248" s="399"/>
      <c r="AG248" s="399"/>
      <c r="AH248" s="399"/>
      <c r="AI248" s="399">
        <v>0</v>
      </c>
      <c r="AJ248" s="399">
        <v>0</v>
      </c>
      <c r="AK248" s="399">
        <v>0</v>
      </c>
      <c r="AL248" s="399">
        <v>0</v>
      </c>
      <c r="AM248" s="399"/>
      <c r="AN248" s="399">
        <v>0</v>
      </c>
      <c r="AO248" s="399">
        <v>0</v>
      </c>
      <c r="AP248" s="399">
        <v>0</v>
      </c>
      <c r="AQ248" s="399">
        <v>0</v>
      </c>
      <c r="AR248" s="399">
        <v>0</v>
      </c>
      <c r="AS248" s="399"/>
      <c r="AT248" s="399"/>
      <c r="AU248" s="399">
        <v>0</v>
      </c>
      <c r="AV248" s="399">
        <v>0</v>
      </c>
      <c r="AW248" s="399">
        <v>0</v>
      </c>
      <c r="AX248" s="399"/>
      <c r="AY248" s="399"/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/>
      <c r="BG248" s="399">
        <v>0</v>
      </c>
      <c r="BH248" s="399">
        <v>0</v>
      </c>
      <c r="BI248" s="399">
        <v>0</v>
      </c>
      <c r="BJ248" s="399">
        <v>0</v>
      </c>
      <c r="BK248" s="399">
        <v>7176.16</v>
      </c>
      <c r="BL248" s="399">
        <v>1</v>
      </c>
      <c r="BM248" s="399"/>
      <c r="BN248" s="399"/>
      <c r="BO248" s="399"/>
      <c r="BP248" s="399"/>
      <c r="BQ248" s="399">
        <v>246.89999999999998</v>
      </c>
      <c r="BR248" s="399"/>
      <c r="BS248" s="399"/>
      <c r="BT248" s="399"/>
      <c r="BU248" s="399"/>
      <c r="BV248" s="399">
        <v>0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3868.1</v>
      </c>
      <c r="CJ248" s="399">
        <v>-483.19000000000096</v>
      </c>
      <c r="CK248" s="399"/>
      <c r="CL248" s="399"/>
      <c r="CM248" s="399"/>
      <c r="CN248" s="399"/>
      <c r="CO248" s="399">
        <v>-514</v>
      </c>
      <c r="CP248" s="399">
        <v>0</v>
      </c>
      <c r="CQ248" s="399">
        <v>30</v>
      </c>
      <c r="CR248" s="399">
        <v>-9.5837838436800666</v>
      </c>
      <c r="CS248" s="399">
        <v>0</v>
      </c>
      <c r="CT248" s="399">
        <v>0</v>
      </c>
      <c r="CU248" s="399">
        <v>0</v>
      </c>
      <c r="CV248" s="399">
        <v>0</v>
      </c>
      <c r="CW248" s="399"/>
      <c r="CX248" s="399"/>
      <c r="CY248" s="399"/>
      <c r="CZ248" s="399">
        <v>-9.5837838436800666</v>
      </c>
      <c r="DA248" s="399">
        <v>0</v>
      </c>
      <c r="DB248" s="399">
        <v>0</v>
      </c>
      <c r="DC248" s="399"/>
      <c r="DD248" s="399"/>
      <c r="DE248" s="399">
        <v>0</v>
      </c>
      <c r="DF248" s="399">
        <v>0</v>
      </c>
      <c r="DG248" s="399">
        <v>0</v>
      </c>
      <c r="DH248" s="399">
        <v>0</v>
      </c>
      <c r="DI248" s="399">
        <v>0</v>
      </c>
      <c r="DJ248" s="399"/>
      <c r="DK248" s="399">
        <v>0</v>
      </c>
      <c r="DL248" s="399">
        <v>0</v>
      </c>
      <c r="DM248" s="399"/>
      <c r="DN248" s="399">
        <v>0</v>
      </c>
      <c r="DO248" s="399">
        <v>0</v>
      </c>
      <c r="DP248" s="399">
        <v>0</v>
      </c>
      <c r="DQ248" s="399">
        <v>0</v>
      </c>
      <c r="DR248" s="399">
        <v>0</v>
      </c>
      <c r="DS248" s="399"/>
      <c r="DT248" s="399"/>
      <c r="DU248" s="399">
        <v>2837.3428309380402</v>
      </c>
      <c r="DV248" s="399"/>
      <c r="DW248" s="399">
        <v>0</v>
      </c>
      <c r="DX248" s="399">
        <v>0</v>
      </c>
      <c r="DY248" s="399">
        <v>-514</v>
      </c>
      <c r="DZ248" s="399"/>
      <c r="EA248" s="399">
        <v>0</v>
      </c>
      <c r="EB248" s="399"/>
      <c r="EC248" s="399">
        <v>-504.17870577822032</v>
      </c>
      <c r="ED248" s="399"/>
      <c r="EE248" s="399">
        <v>0</v>
      </c>
      <c r="EF248" s="399">
        <v>0</v>
      </c>
      <c r="EG248" s="399"/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/>
      <c r="EN248" s="399"/>
      <c r="EO248" s="399">
        <v>0</v>
      </c>
      <c r="EP248" s="399">
        <v>0</v>
      </c>
      <c r="EQ248" s="399"/>
      <c r="ER248" s="399">
        <v>0</v>
      </c>
      <c r="ES248" s="399"/>
      <c r="ET248" s="399">
        <v>0</v>
      </c>
      <c r="EU248" s="399"/>
      <c r="EV248" s="399">
        <v>229</v>
      </c>
      <c r="EW248" s="399"/>
      <c r="EX248" s="399"/>
      <c r="EY248" s="399"/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247</v>
      </c>
      <c r="B249" s="399" t="s">
        <v>954</v>
      </c>
      <c r="C249" s="399" t="s">
        <v>2336</v>
      </c>
      <c r="D249" s="399" t="s">
        <v>1819</v>
      </c>
      <c r="E249" s="399" t="s">
        <v>887</v>
      </c>
      <c r="F249" s="399" t="s">
        <v>887</v>
      </c>
      <c r="G249" s="399" t="s">
        <v>1237</v>
      </c>
      <c r="H249" s="399" t="s">
        <v>1237</v>
      </c>
      <c r="I249" s="399" t="s">
        <v>1237</v>
      </c>
      <c r="J249" s="399" t="s">
        <v>2337</v>
      </c>
      <c r="K249" s="788">
        <v>44682</v>
      </c>
      <c r="L249" s="399">
        <v>0</v>
      </c>
      <c r="M249" s="399">
        <v>0</v>
      </c>
      <c r="N249" s="399">
        <v>480.74400000000003</v>
      </c>
      <c r="O249" s="399">
        <v>480.74400000000003</v>
      </c>
      <c r="P249" s="399">
        <v>480.74400000000003</v>
      </c>
      <c r="Q249" s="399">
        <v>480.74400000000003</v>
      </c>
      <c r="R249" s="399"/>
      <c r="S249" s="399">
        <v>707.13</v>
      </c>
      <c r="T249" s="399">
        <v>119.97</v>
      </c>
      <c r="U249" s="399"/>
      <c r="V249" s="399">
        <v>397623.36240000004</v>
      </c>
      <c r="W249" s="399">
        <v>397623.36240000004</v>
      </c>
      <c r="X249" s="399">
        <v>350476.79832</v>
      </c>
      <c r="Y249" s="399">
        <v>0</v>
      </c>
      <c r="Z249" s="399">
        <v>29274.847987904734</v>
      </c>
      <c r="AA249" s="399">
        <v>0</v>
      </c>
      <c r="AB249" s="399">
        <v>0</v>
      </c>
      <c r="AC249" s="399">
        <v>0</v>
      </c>
      <c r="AD249" s="399">
        <v>51698.830357843326</v>
      </c>
      <c r="AE249" s="399">
        <v>244873.18139244383</v>
      </c>
      <c r="AF249" s="399">
        <v>57676.704974168628</v>
      </c>
      <c r="AG249" s="399">
        <v>0</v>
      </c>
      <c r="AH249" s="399">
        <v>0</v>
      </c>
      <c r="AI249" s="399">
        <v>0</v>
      </c>
      <c r="AJ249" s="399">
        <v>0</v>
      </c>
      <c r="AK249" s="399">
        <v>0</v>
      </c>
      <c r="AL249" s="399">
        <v>4523.9096443273147</v>
      </c>
      <c r="AM249" s="399"/>
      <c r="AN249" s="399">
        <v>1034.2239668501861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8543.9811587357617</v>
      </c>
      <c r="BH249" s="399">
        <v>0</v>
      </c>
      <c r="BI249" s="399">
        <v>0</v>
      </c>
      <c r="BJ249" s="399">
        <v>0</v>
      </c>
      <c r="BK249" s="399">
        <v>67474.69</v>
      </c>
      <c r="BL249" s="399">
        <v>3096</v>
      </c>
      <c r="BM249" s="399"/>
      <c r="BN249" s="399"/>
      <c r="BO249" s="399"/>
      <c r="BP249" s="399"/>
      <c r="BQ249" s="399"/>
      <c r="BR249" s="399"/>
      <c r="BS249" s="399"/>
      <c r="BT249" s="399"/>
      <c r="BU249" s="399"/>
      <c r="BV249" s="399">
        <v>66220.68613290439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350473.88219999999</v>
      </c>
      <c r="CJ249" s="399">
        <v>-47149.510200000077</v>
      </c>
      <c r="CK249" s="399"/>
      <c r="CL249" s="399"/>
      <c r="CM249" s="399"/>
      <c r="CN249" s="399"/>
      <c r="CO249" s="399">
        <v>-47146.564080000026</v>
      </c>
      <c r="CP249" s="399">
        <v>0</v>
      </c>
      <c r="CQ249" s="399">
        <v>31</v>
      </c>
      <c r="CR249" s="399">
        <v>-3633.6188084253517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-276.59804213204916</v>
      </c>
      <c r="DA249" s="399">
        <v>0</v>
      </c>
      <c r="DB249" s="399">
        <v>0</v>
      </c>
      <c r="DC249" s="399">
        <v>0</v>
      </c>
      <c r="DD249" s="399">
        <v>0</v>
      </c>
      <c r="DE249" s="399">
        <v>0</v>
      </c>
      <c r="DF249" s="399">
        <v>0</v>
      </c>
      <c r="DG249" s="399">
        <v>0</v>
      </c>
      <c r="DH249" s="399">
        <v>0</v>
      </c>
      <c r="DI249" s="399">
        <v>-2885.9808271910515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-385.51990958923307</v>
      </c>
      <c r="DP249" s="399">
        <v>-85.52002951302029</v>
      </c>
      <c r="DQ249" s="399">
        <v>0</v>
      </c>
      <c r="DR249" s="399">
        <v>0</v>
      </c>
      <c r="DS249" s="399"/>
      <c r="DT249" s="399"/>
      <c r="DU249" s="399"/>
      <c r="DV249" s="399">
        <v>244873.18139244383</v>
      </c>
      <c r="DW249" s="399">
        <v>0</v>
      </c>
      <c r="DX249" s="399">
        <v>0</v>
      </c>
      <c r="DY249" s="399">
        <v>-47146.56408000004</v>
      </c>
      <c r="DZ249" s="399">
        <v>0</v>
      </c>
      <c r="EA249" s="399">
        <v>0</v>
      </c>
      <c r="EB249" s="399">
        <v>0</v>
      </c>
      <c r="EC249" s="399">
        <v>-43512.487221510935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0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229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248</v>
      </c>
      <c r="B250" s="399" t="s">
        <v>2339</v>
      </c>
      <c r="C250" s="399" t="s">
        <v>2336</v>
      </c>
      <c r="D250" s="399" t="s">
        <v>1819</v>
      </c>
      <c r="E250" s="399" t="s">
        <v>887</v>
      </c>
      <c r="F250" s="399" t="s">
        <v>887</v>
      </c>
      <c r="G250" s="399" t="s">
        <v>1237</v>
      </c>
      <c r="H250" s="399" t="s">
        <v>1237</v>
      </c>
      <c r="I250" s="399" t="s">
        <v>1237</v>
      </c>
      <c r="J250" s="399" t="s">
        <v>2337</v>
      </c>
      <c r="K250" s="788">
        <v>44682</v>
      </c>
      <c r="L250" s="399">
        <v>0</v>
      </c>
      <c r="M250" s="399">
        <v>0</v>
      </c>
      <c r="N250" s="399">
        <v>7.4240000000000004</v>
      </c>
      <c r="O250" s="399">
        <v>7.4240000000000004</v>
      </c>
      <c r="P250" s="399">
        <v>7.4240000000000004</v>
      </c>
      <c r="Q250" s="399">
        <v>7.4240000000000004</v>
      </c>
      <c r="R250" s="399"/>
      <c r="S250" s="399">
        <v>707.13</v>
      </c>
      <c r="T250" s="399">
        <v>119.97</v>
      </c>
      <c r="U250" s="399"/>
      <c r="V250" s="399">
        <v>6140.3904000000002</v>
      </c>
      <c r="W250" s="399">
        <v>6140.3904000000002</v>
      </c>
      <c r="X250" s="399">
        <v>5412.3187200000002</v>
      </c>
      <c r="Y250" s="399">
        <v>0</v>
      </c>
      <c r="Z250" s="399">
        <v>452.08358598797849</v>
      </c>
      <c r="AA250" s="399">
        <v>0</v>
      </c>
      <c r="AB250" s="399">
        <v>0</v>
      </c>
      <c r="AC250" s="399">
        <v>0</v>
      </c>
      <c r="AD250" s="399">
        <v>798.3711009947682</v>
      </c>
      <c r="AE250" s="399">
        <v>3781.5105308802667</v>
      </c>
      <c r="AF250" s="399">
        <v>890.68580726587936</v>
      </c>
      <c r="AG250" s="399">
        <v>0</v>
      </c>
      <c r="AH250" s="399">
        <v>0</v>
      </c>
      <c r="AI250" s="399">
        <v>0</v>
      </c>
      <c r="AJ250" s="399">
        <v>0</v>
      </c>
      <c r="AK250" s="399">
        <v>0</v>
      </c>
      <c r="AL250" s="399">
        <v>69.861517147350739</v>
      </c>
      <c r="AM250" s="399"/>
      <c r="AN250" s="399">
        <v>15.971241928959657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131.94239787174524</v>
      </c>
      <c r="BH250" s="399">
        <v>0</v>
      </c>
      <c r="BI250" s="399">
        <v>0</v>
      </c>
      <c r="BJ250" s="399">
        <v>0</v>
      </c>
      <c r="BK250" s="399">
        <v>3464.8</v>
      </c>
      <c r="BL250" s="399">
        <v>48</v>
      </c>
      <c r="BM250" s="399"/>
      <c r="BN250" s="399"/>
      <c r="BO250" s="399"/>
      <c r="BP250" s="399"/>
      <c r="BQ250" s="399"/>
      <c r="BR250" s="399"/>
      <c r="BS250" s="399"/>
      <c r="BT250" s="399"/>
      <c r="BU250" s="399"/>
      <c r="BV250" s="399">
        <v>1022.6282051376246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5409.4025999999994</v>
      </c>
      <c r="CJ250" s="399">
        <v>-731.01780000000144</v>
      </c>
      <c r="CK250" s="399"/>
      <c r="CL250" s="399"/>
      <c r="CM250" s="399"/>
      <c r="CN250" s="399"/>
      <c r="CO250" s="399">
        <v>-728.07168000000036</v>
      </c>
      <c r="CP250" s="399">
        <v>0</v>
      </c>
      <c r="CQ250" s="399">
        <v>31</v>
      </c>
      <c r="CR250" s="399">
        <v>-56.112995760216108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-4.2714290033538873</v>
      </c>
      <c r="DA250" s="399">
        <v>0</v>
      </c>
      <c r="DB250" s="399">
        <v>0</v>
      </c>
      <c r="DC250" s="399">
        <v>0</v>
      </c>
      <c r="DD250" s="399">
        <v>0</v>
      </c>
      <c r="DE250" s="399">
        <v>0</v>
      </c>
      <c r="DF250" s="399">
        <v>0</v>
      </c>
      <c r="DG250" s="399">
        <v>0</v>
      </c>
      <c r="DH250" s="399">
        <v>0</v>
      </c>
      <c r="DI250" s="399">
        <v>-44.567423953427067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-5.9534800409167161</v>
      </c>
      <c r="DP250" s="399">
        <v>-1.3206627625194756</v>
      </c>
      <c r="DQ250" s="399">
        <v>0</v>
      </c>
      <c r="DR250" s="399">
        <v>0</v>
      </c>
      <c r="DS250" s="399"/>
      <c r="DT250" s="399"/>
      <c r="DU250" s="399"/>
      <c r="DV250" s="399">
        <v>3781.5105308802667</v>
      </c>
      <c r="DW250" s="399">
        <v>0</v>
      </c>
      <c r="DX250" s="399">
        <v>0</v>
      </c>
      <c r="DY250" s="399">
        <v>-728.07168000000001</v>
      </c>
      <c r="DZ250" s="399">
        <v>0</v>
      </c>
      <c r="EA250" s="399">
        <v>0</v>
      </c>
      <c r="EB250" s="399">
        <v>0</v>
      </c>
      <c r="EC250" s="399">
        <v>-671.95161069612368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0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229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249</v>
      </c>
      <c r="B251" s="399" t="s">
        <v>954</v>
      </c>
      <c r="C251" s="399" t="s">
        <v>2336</v>
      </c>
      <c r="D251" s="399" t="s">
        <v>1819</v>
      </c>
      <c r="E251" s="399" t="s">
        <v>887</v>
      </c>
      <c r="F251" s="399" t="s">
        <v>2340</v>
      </c>
      <c r="G251" s="399" t="s">
        <v>1237</v>
      </c>
      <c r="H251" s="399" t="s">
        <v>1237</v>
      </c>
      <c r="I251" s="399" t="s">
        <v>1237</v>
      </c>
      <c r="J251" s="399" t="s">
        <v>2337</v>
      </c>
      <c r="K251" s="788">
        <v>44682</v>
      </c>
      <c r="L251" s="399">
        <v>0</v>
      </c>
      <c r="M251" s="399">
        <v>0</v>
      </c>
      <c r="N251" s="399">
        <v>5.58</v>
      </c>
      <c r="O251" s="399">
        <v>5.58</v>
      </c>
      <c r="P251" s="399">
        <v>5.58</v>
      </c>
      <c r="Q251" s="399">
        <v>5.58</v>
      </c>
      <c r="R251" s="399"/>
      <c r="S251" s="399">
        <v>636.83000000000004</v>
      </c>
      <c r="T251" s="399">
        <v>119.97</v>
      </c>
      <c r="U251" s="399"/>
      <c r="V251" s="399">
        <v>4222.9440000000004</v>
      </c>
      <c r="W251" s="399">
        <v>4222.9440000000004</v>
      </c>
      <c r="X251" s="399">
        <v>3713.6574000000001</v>
      </c>
      <c r="Y251" s="399">
        <v>0</v>
      </c>
      <c r="Z251" s="399">
        <v>0</v>
      </c>
      <c r="AA251" s="399">
        <v>0</v>
      </c>
      <c r="AB251" s="399">
        <v>0</v>
      </c>
      <c r="AC251" s="399">
        <v>0</v>
      </c>
      <c r="AD251" s="399">
        <v>600.06879627570129</v>
      </c>
      <c r="AE251" s="399">
        <v>2842.2452535441657</v>
      </c>
      <c r="AF251" s="399">
        <v>669.45404156029178</v>
      </c>
      <c r="AG251" s="399">
        <v>0</v>
      </c>
      <c r="AH251" s="399">
        <v>0</v>
      </c>
      <c r="AI251" s="399">
        <v>0</v>
      </c>
      <c r="AJ251" s="399">
        <v>0</v>
      </c>
      <c r="AK251" s="399">
        <v>0</v>
      </c>
      <c r="AL251" s="399">
        <v>0</v>
      </c>
      <c r="AM251" s="399"/>
      <c r="AN251" s="399">
        <v>12.004247031734224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99.170067365886098</v>
      </c>
      <c r="BH251" s="399">
        <v>0</v>
      </c>
      <c r="BI251" s="399">
        <v>0</v>
      </c>
      <c r="BJ251" s="399">
        <v>0</v>
      </c>
      <c r="BK251" s="399">
        <v>176.7</v>
      </c>
      <c r="BL251" s="399">
        <v>15</v>
      </c>
      <c r="BM251" s="399"/>
      <c r="BN251" s="399"/>
      <c r="BO251" s="399"/>
      <c r="BP251" s="399"/>
      <c r="BQ251" s="399"/>
      <c r="BR251" s="399"/>
      <c r="BS251" s="399"/>
      <c r="BT251" s="399">
        <v>2413.8521999999998</v>
      </c>
      <c r="BU251" s="399"/>
      <c r="BV251" s="399">
        <v>768.62410892617788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1299.8052</v>
      </c>
      <c r="CJ251" s="399">
        <v>-178.25519999999983</v>
      </c>
      <c r="CK251" s="399"/>
      <c r="CL251" s="399"/>
      <c r="CM251" s="399"/>
      <c r="CN251" s="399"/>
      <c r="CO251" s="399">
        <v>-509.28660000000053</v>
      </c>
      <c r="CP251" s="399">
        <v>0</v>
      </c>
      <c r="CQ251" s="399">
        <v>31</v>
      </c>
      <c r="CR251" s="399">
        <v>-4.2031077658368758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-3.2104760019819878</v>
      </c>
      <c r="DA251" s="399">
        <v>0</v>
      </c>
      <c r="DB251" s="399">
        <v>0</v>
      </c>
      <c r="DC251" s="399">
        <v>0</v>
      </c>
      <c r="DD251" s="399">
        <v>0</v>
      </c>
      <c r="DE251" s="399">
        <v>0</v>
      </c>
      <c r="DF251" s="399">
        <v>0</v>
      </c>
      <c r="DG251" s="399">
        <v>0</v>
      </c>
      <c r="DH251" s="399">
        <v>0</v>
      </c>
      <c r="DI251" s="399">
        <v>0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0</v>
      </c>
      <c r="DP251" s="399">
        <v>-0.9926317638548845</v>
      </c>
      <c r="DQ251" s="399">
        <v>0</v>
      </c>
      <c r="DR251" s="399">
        <v>0</v>
      </c>
      <c r="DS251" s="399"/>
      <c r="DT251" s="399"/>
      <c r="DU251" s="399"/>
      <c r="DV251" s="399">
        <v>2842.2452535441657</v>
      </c>
      <c r="DW251" s="399">
        <v>0</v>
      </c>
      <c r="DX251" s="399">
        <v>0</v>
      </c>
      <c r="DY251" s="399">
        <v>-509.28660000000036</v>
      </c>
      <c r="DZ251" s="399">
        <v>0</v>
      </c>
      <c r="EA251" s="399">
        <v>0</v>
      </c>
      <c r="EB251" s="399">
        <v>0</v>
      </c>
      <c r="EC251" s="399">
        <v>-505.04983670317461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0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229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250</v>
      </c>
      <c r="B252" s="399" t="s">
        <v>954</v>
      </c>
      <c r="C252" s="399" t="s">
        <v>2336</v>
      </c>
      <c r="D252" s="399" t="s">
        <v>1819</v>
      </c>
      <c r="E252" s="399" t="s">
        <v>887</v>
      </c>
      <c r="F252" s="399" t="s">
        <v>2341</v>
      </c>
      <c r="G252" s="399" t="s">
        <v>1237</v>
      </c>
      <c r="H252" s="399" t="s">
        <v>1237</v>
      </c>
      <c r="I252" s="399" t="s">
        <v>1237</v>
      </c>
      <c r="J252" s="399" t="s">
        <v>2337</v>
      </c>
      <c r="K252" s="788">
        <v>44682</v>
      </c>
      <c r="L252" s="399">
        <v>0</v>
      </c>
      <c r="M252" s="399">
        <v>0</v>
      </c>
      <c r="N252" s="399">
        <v>11.129</v>
      </c>
      <c r="O252" s="399">
        <v>11.129</v>
      </c>
      <c r="P252" s="399">
        <v>11.129</v>
      </c>
      <c r="Q252" s="399">
        <v>11.129</v>
      </c>
      <c r="R252" s="399"/>
      <c r="S252" s="399">
        <v>636.83000000000004</v>
      </c>
      <c r="T252" s="399">
        <v>119.97</v>
      </c>
      <c r="U252" s="399"/>
      <c r="V252" s="399">
        <v>8422.4272000000001</v>
      </c>
      <c r="W252" s="399">
        <v>8422.4272000000001</v>
      </c>
      <c r="X252" s="399">
        <v>7406.6833699999988</v>
      </c>
      <c r="Y252" s="399">
        <v>0</v>
      </c>
      <c r="Z252" s="399">
        <v>0</v>
      </c>
      <c r="AA252" s="399">
        <v>0</v>
      </c>
      <c r="AB252" s="399">
        <v>0</v>
      </c>
      <c r="AC252" s="399">
        <v>0</v>
      </c>
      <c r="AD252" s="399">
        <v>1196.8038770165374</v>
      </c>
      <c r="AE252" s="399">
        <v>5668.7002556797524</v>
      </c>
      <c r="AF252" s="399">
        <v>1335.1888940008041</v>
      </c>
      <c r="AG252" s="399">
        <v>0</v>
      </c>
      <c r="AH252" s="399">
        <v>0</v>
      </c>
      <c r="AI252" s="399">
        <v>0</v>
      </c>
      <c r="AJ252" s="399">
        <v>0</v>
      </c>
      <c r="AK252" s="399">
        <v>0</v>
      </c>
      <c r="AL252" s="399">
        <v>0</v>
      </c>
      <c r="AM252" s="399"/>
      <c r="AN252" s="399">
        <v>23.941803802181035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197.78918991307282</v>
      </c>
      <c r="BH252" s="399">
        <v>0</v>
      </c>
      <c r="BI252" s="399">
        <v>0</v>
      </c>
      <c r="BJ252" s="399">
        <v>0</v>
      </c>
      <c r="BK252" s="399">
        <v>605.59</v>
      </c>
      <c r="BL252" s="399">
        <v>31</v>
      </c>
      <c r="BM252" s="399"/>
      <c r="BN252" s="399"/>
      <c r="BO252" s="399"/>
      <c r="BP252" s="399"/>
      <c r="BQ252" s="399"/>
      <c r="BR252" s="399"/>
      <c r="BS252" s="399"/>
      <c r="BT252" s="399">
        <v>2962.6510899999994</v>
      </c>
      <c r="BU252" s="399"/>
      <c r="BV252" s="399">
        <v>1532.9780839138768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4444.4315999999999</v>
      </c>
      <c r="CJ252" s="399">
        <v>-609.054720000001</v>
      </c>
      <c r="CK252" s="399"/>
      <c r="CL252" s="399"/>
      <c r="CM252" s="399"/>
      <c r="CN252" s="399"/>
      <c r="CO252" s="399">
        <v>-1015.743830000001</v>
      </c>
      <c r="CP252" s="399">
        <v>0</v>
      </c>
      <c r="CQ252" s="399">
        <v>31</v>
      </c>
      <c r="CR252" s="399">
        <v>-8.3828649329743712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-6.403116026175212</v>
      </c>
      <c r="DA252" s="399">
        <v>0</v>
      </c>
      <c r="DB252" s="399">
        <v>0</v>
      </c>
      <c r="DC252" s="399">
        <v>0</v>
      </c>
      <c r="DD252" s="399">
        <v>0</v>
      </c>
      <c r="DE252" s="399">
        <v>0</v>
      </c>
      <c r="DF252" s="399">
        <v>0</v>
      </c>
      <c r="DG252" s="399">
        <v>0</v>
      </c>
      <c r="DH252" s="399">
        <v>0</v>
      </c>
      <c r="DI252" s="399">
        <v>0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0</v>
      </c>
      <c r="DP252" s="399">
        <v>-1.9797489067994647</v>
      </c>
      <c r="DQ252" s="399">
        <v>0</v>
      </c>
      <c r="DR252" s="399">
        <v>0</v>
      </c>
      <c r="DS252" s="399"/>
      <c r="DT252" s="399"/>
      <c r="DU252" s="399"/>
      <c r="DV252" s="399">
        <v>5668.7002556797524</v>
      </c>
      <c r="DW252" s="399">
        <v>0</v>
      </c>
      <c r="DX252" s="399">
        <v>0</v>
      </c>
      <c r="DY252" s="399">
        <v>-1015.7438300000013</v>
      </c>
      <c r="DZ252" s="399">
        <v>0</v>
      </c>
      <c r="EA252" s="399">
        <v>0</v>
      </c>
      <c r="EB252" s="399">
        <v>0</v>
      </c>
      <c r="EC252" s="399">
        <v>-1007.29384098022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0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229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251</v>
      </c>
      <c r="B253" s="399" t="s">
        <v>954</v>
      </c>
      <c r="C253" s="399" t="s">
        <v>2336</v>
      </c>
      <c r="D253" s="399" t="s">
        <v>1819</v>
      </c>
      <c r="E253" s="399" t="s">
        <v>887</v>
      </c>
      <c r="F253" s="399" t="s">
        <v>2342</v>
      </c>
      <c r="G253" s="399" t="s">
        <v>1237</v>
      </c>
      <c r="H253" s="399" t="s">
        <v>1237</v>
      </c>
      <c r="I253" s="399" t="s">
        <v>1237</v>
      </c>
      <c r="J253" s="399" t="s">
        <v>2337</v>
      </c>
      <c r="K253" s="788">
        <v>44682</v>
      </c>
      <c r="L253" s="399">
        <v>0</v>
      </c>
      <c r="M253" s="399">
        <v>0</v>
      </c>
      <c r="N253" s="399">
        <v>10.95</v>
      </c>
      <c r="O253" s="399">
        <v>10.95</v>
      </c>
      <c r="P253" s="399">
        <v>10.95</v>
      </c>
      <c r="Q253" s="399">
        <v>10.95</v>
      </c>
      <c r="R253" s="399"/>
      <c r="S253" s="399">
        <v>636.83000000000004</v>
      </c>
      <c r="T253" s="399">
        <v>119.97</v>
      </c>
      <c r="U253" s="399"/>
      <c r="V253" s="399">
        <v>8286.9599999999991</v>
      </c>
      <c r="W253" s="399">
        <v>8286.9599999999991</v>
      </c>
      <c r="X253" s="399">
        <v>7287.5534999999982</v>
      </c>
      <c r="Y253" s="399">
        <v>0</v>
      </c>
      <c r="Z253" s="399">
        <v>0</v>
      </c>
      <c r="AA253" s="399">
        <v>0</v>
      </c>
      <c r="AB253" s="399">
        <v>0</v>
      </c>
      <c r="AC253" s="399">
        <v>0</v>
      </c>
      <c r="AD253" s="399">
        <v>1177.5543582829621</v>
      </c>
      <c r="AE253" s="399">
        <v>5577.5242878689269</v>
      </c>
      <c r="AF253" s="399">
        <v>1313.7135761801424</v>
      </c>
      <c r="AG253" s="399">
        <v>0</v>
      </c>
      <c r="AH253" s="399">
        <v>0</v>
      </c>
      <c r="AI253" s="399">
        <v>0</v>
      </c>
      <c r="AJ253" s="399">
        <v>0</v>
      </c>
      <c r="AK253" s="399">
        <v>0</v>
      </c>
      <c r="AL253" s="399">
        <v>0</v>
      </c>
      <c r="AM253" s="399"/>
      <c r="AN253" s="399">
        <v>23.556721325715007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194.60792789542162</v>
      </c>
      <c r="BH253" s="399">
        <v>0</v>
      </c>
      <c r="BI253" s="399">
        <v>0</v>
      </c>
      <c r="BJ253" s="399">
        <v>0</v>
      </c>
      <c r="BK253" s="399">
        <v>1496.24</v>
      </c>
      <c r="BL253" s="399">
        <v>88</v>
      </c>
      <c r="BM253" s="399"/>
      <c r="BN253" s="399"/>
      <c r="BO253" s="399"/>
      <c r="BP253" s="399"/>
      <c r="BQ253" s="399"/>
      <c r="BR253" s="399"/>
      <c r="BS253" s="399"/>
      <c r="BT253" s="399">
        <v>728.61299999999937</v>
      </c>
      <c r="BU253" s="399"/>
      <c r="BV253" s="399">
        <v>1508.321504075564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6558.9404999999988</v>
      </c>
      <c r="CJ253" s="399">
        <v>-899.35350000000108</v>
      </c>
      <c r="CK253" s="399"/>
      <c r="CL253" s="399"/>
      <c r="CM253" s="399"/>
      <c r="CN253" s="399"/>
      <c r="CO253" s="399">
        <v>-999.40650000000096</v>
      </c>
      <c r="CP253" s="399">
        <v>0</v>
      </c>
      <c r="CQ253" s="399">
        <v>31</v>
      </c>
      <c r="CR253" s="399">
        <v>-8.2480340566157793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-6.3001276382979086</v>
      </c>
      <c r="DA253" s="399">
        <v>0</v>
      </c>
      <c r="DB253" s="399">
        <v>0</v>
      </c>
      <c r="DC253" s="399">
        <v>0</v>
      </c>
      <c r="DD253" s="399">
        <v>0</v>
      </c>
      <c r="DE253" s="399">
        <v>0</v>
      </c>
      <c r="DF253" s="399">
        <v>0</v>
      </c>
      <c r="DG253" s="399">
        <v>0</v>
      </c>
      <c r="DH253" s="399">
        <v>0</v>
      </c>
      <c r="DI253" s="399">
        <v>0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0</v>
      </c>
      <c r="DP253" s="399">
        <v>-1.9479064183173804</v>
      </c>
      <c r="DQ253" s="399">
        <v>0</v>
      </c>
      <c r="DR253" s="399">
        <v>0</v>
      </c>
      <c r="DS253" s="399"/>
      <c r="DT253" s="399"/>
      <c r="DU253" s="399"/>
      <c r="DV253" s="399">
        <v>5577.5242878689269</v>
      </c>
      <c r="DW253" s="399">
        <v>0</v>
      </c>
      <c r="DX253" s="399">
        <v>0</v>
      </c>
      <c r="DY253" s="399">
        <v>-999.40650000000096</v>
      </c>
      <c r="DZ253" s="399">
        <v>0</v>
      </c>
      <c r="EA253" s="399">
        <v>0</v>
      </c>
      <c r="EB253" s="399">
        <v>0</v>
      </c>
      <c r="EC253" s="399">
        <v>-991.09242148741214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0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229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252</v>
      </c>
      <c r="B254" s="399" t="s">
        <v>954</v>
      </c>
      <c r="C254" s="399" t="s">
        <v>2336</v>
      </c>
      <c r="D254" s="399" t="s">
        <v>1819</v>
      </c>
      <c r="E254" s="399" t="s">
        <v>887</v>
      </c>
      <c r="F254" s="399" t="s">
        <v>2343</v>
      </c>
      <c r="G254" s="399" t="s">
        <v>1237</v>
      </c>
      <c r="H254" s="399" t="s">
        <v>1237</v>
      </c>
      <c r="I254" s="399" t="s">
        <v>1237</v>
      </c>
      <c r="J254" s="399" t="s">
        <v>2337</v>
      </c>
      <c r="K254" s="788">
        <v>44682</v>
      </c>
      <c r="L254" s="399">
        <v>0</v>
      </c>
      <c r="M254" s="399">
        <v>0</v>
      </c>
      <c r="N254" s="399">
        <v>2.9620000000000002</v>
      </c>
      <c r="O254" s="399">
        <v>2.9620000000000002</v>
      </c>
      <c r="P254" s="399">
        <v>2.9620000000000002</v>
      </c>
      <c r="Q254" s="399">
        <v>2.9620000000000002</v>
      </c>
      <c r="R254" s="399"/>
      <c r="S254" s="399">
        <v>636.83000000000004</v>
      </c>
      <c r="T254" s="399">
        <v>119.97</v>
      </c>
      <c r="U254" s="399"/>
      <c r="V254" s="399">
        <v>2241.6416000000004</v>
      </c>
      <c r="W254" s="399">
        <v>2241.6416000000004</v>
      </c>
      <c r="X254" s="399">
        <v>1971.2998599999999</v>
      </c>
      <c r="Y254" s="399">
        <v>0</v>
      </c>
      <c r="Z254" s="399">
        <v>0</v>
      </c>
      <c r="AA254" s="399">
        <v>0</v>
      </c>
      <c r="AB254" s="399">
        <v>0</v>
      </c>
      <c r="AC254" s="399">
        <v>0</v>
      </c>
      <c r="AD254" s="399">
        <v>318.53114239581134</v>
      </c>
      <c r="AE254" s="399">
        <v>1508.7330539422617</v>
      </c>
      <c r="AF254" s="399">
        <v>355.36252170279289</v>
      </c>
      <c r="AG254" s="399">
        <v>0</v>
      </c>
      <c r="AH254" s="399">
        <v>0</v>
      </c>
      <c r="AI254" s="399">
        <v>0</v>
      </c>
      <c r="AJ254" s="399">
        <v>0</v>
      </c>
      <c r="AK254" s="399">
        <v>0</v>
      </c>
      <c r="AL254" s="399">
        <v>0</v>
      </c>
      <c r="AM254" s="399"/>
      <c r="AN254" s="399">
        <v>6.3721469010746912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52.641888806049216</v>
      </c>
      <c r="BH254" s="399">
        <v>0</v>
      </c>
      <c r="BI254" s="399">
        <v>0</v>
      </c>
      <c r="BJ254" s="399">
        <v>0</v>
      </c>
      <c r="BK254" s="399">
        <v>656.87</v>
      </c>
      <c r="BL254" s="399">
        <v>51</v>
      </c>
      <c r="BM254" s="399"/>
      <c r="BN254" s="399"/>
      <c r="BO254" s="399"/>
      <c r="BP254" s="399"/>
      <c r="BQ254" s="399"/>
      <c r="BR254" s="399"/>
      <c r="BS254" s="399"/>
      <c r="BT254" s="399"/>
      <c r="BU254" s="399"/>
      <c r="BV254" s="399">
        <v>408.00441050884211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1969.9687999999999</v>
      </c>
      <c r="CJ254" s="399">
        <v>-271.70280000000071</v>
      </c>
      <c r="CK254" s="399"/>
      <c r="CL254" s="399"/>
      <c r="CM254" s="399"/>
      <c r="CN254" s="399"/>
      <c r="CO254" s="399">
        <v>-270.3417400000003</v>
      </c>
      <c r="CP254" s="399">
        <v>0</v>
      </c>
      <c r="CQ254" s="399">
        <v>31</v>
      </c>
      <c r="CR254" s="399">
        <v>-2.231112043442522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-1.7041989100126784</v>
      </c>
      <c r="DA254" s="399">
        <v>0</v>
      </c>
      <c r="DB254" s="399">
        <v>0</v>
      </c>
      <c r="DC254" s="399">
        <v>0</v>
      </c>
      <c r="DD254" s="399">
        <v>0</v>
      </c>
      <c r="DE254" s="399">
        <v>0</v>
      </c>
      <c r="DF254" s="399">
        <v>0</v>
      </c>
      <c r="DG254" s="399">
        <v>0</v>
      </c>
      <c r="DH254" s="399">
        <v>0</v>
      </c>
      <c r="DI254" s="399">
        <v>0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0</v>
      </c>
      <c r="DP254" s="399">
        <v>-0.52691313342978052</v>
      </c>
      <c r="DQ254" s="399">
        <v>0</v>
      </c>
      <c r="DR254" s="399">
        <v>0</v>
      </c>
      <c r="DS254" s="399"/>
      <c r="DT254" s="399"/>
      <c r="DU254" s="399"/>
      <c r="DV254" s="399">
        <v>1508.7330539422617</v>
      </c>
      <c r="DW254" s="399">
        <v>0</v>
      </c>
      <c r="DX254" s="399">
        <v>0</v>
      </c>
      <c r="DY254" s="399">
        <v>-270.3417400000003</v>
      </c>
      <c r="DZ254" s="399">
        <v>0</v>
      </c>
      <c r="EA254" s="399">
        <v>0</v>
      </c>
      <c r="EB254" s="399">
        <v>0</v>
      </c>
      <c r="EC254" s="399">
        <v>-268.0927627804308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0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229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253</v>
      </c>
      <c r="B255" s="399" t="s">
        <v>954</v>
      </c>
      <c r="C255" s="399" t="s">
        <v>2336</v>
      </c>
      <c r="D255" s="399" t="s">
        <v>1822</v>
      </c>
      <c r="E255" s="399" t="s">
        <v>888</v>
      </c>
      <c r="F255" s="399" t="s">
        <v>1237</v>
      </c>
      <c r="G255" s="399" t="s">
        <v>1237</v>
      </c>
      <c r="H255" s="399" t="s">
        <v>1237</v>
      </c>
      <c r="I255" s="399" t="s">
        <v>1237</v>
      </c>
      <c r="J255" s="399" t="s">
        <v>2337</v>
      </c>
      <c r="K255" s="788">
        <v>44682</v>
      </c>
      <c r="L255" s="399">
        <v>0</v>
      </c>
      <c r="M255" s="399">
        <v>0</v>
      </c>
      <c r="N255" s="399">
        <v>146.398</v>
      </c>
      <c r="O255" s="399">
        <v>146.398</v>
      </c>
      <c r="P255" s="399">
        <v>146.398</v>
      </c>
      <c r="Q255" s="399">
        <v>146.398</v>
      </c>
      <c r="R255" s="399"/>
      <c r="S255" s="399">
        <v>707.13</v>
      </c>
      <c r="T255" s="399">
        <v>119.97</v>
      </c>
      <c r="U255" s="399"/>
      <c r="V255" s="399">
        <v>121085.78579999998</v>
      </c>
      <c r="W255" s="399">
        <v>121085.78579999998</v>
      </c>
      <c r="X255" s="399">
        <v>106728.53393999999</v>
      </c>
      <c r="Y255" s="399">
        <v>0</v>
      </c>
      <c r="Z255" s="399">
        <v>8914.8885804779184</v>
      </c>
      <c r="AA255" s="399">
        <v>0</v>
      </c>
      <c r="AB255" s="399">
        <v>0</v>
      </c>
      <c r="AC255" s="399">
        <v>0</v>
      </c>
      <c r="AD255" s="399">
        <v>15743.525383005397</v>
      </c>
      <c r="AE255" s="399">
        <v>74569.716958487232</v>
      </c>
      <c r="AF255" s="399">
        <v>17563.930605079498</v>
      </c>
      <c r="AG255" s="399">
        <v>0</v>
      </c>
      <c r="AH255" s="399">
        <v>0</v>
      </c>
      <c r="AI255" s="399">
        <v>0</v>
      </c>
      <c r="AJ255" s="399">
        <v>0</v>
      </c>
      <c r="AK255" s="399">
        <v>0</v>
      </c>
      <c r="AL255" s="399">
        <v>1377.6382526047753</v>
      </c>
      <c r="AM255" s="399"/>
      <c r="AN255" s="399">
        <v>314.94583457918043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2601.8457925145149</v>
      </c>
      <c r="BH255" s="399">
        <v>0</v>
      </c>
      <c r="BI255" s="399">
        <v>0</v>
      </c>
      <c r="BJ255" s="399">
        <v>0</v>
      </c>
      <c r="BK255" s="399">
        <v>35575.9</v>
      </c>
      <c r="BL255" s="399">
        <v>67</v>
      </c>
      <c r="BM255" s="399"/>
      <c r="BN255" s="399"/>
      <c r="BO255" s="399"/>
      <c r="BP255" s="399"/>
      <c r="BQ255" s="399"/>
      <c r="BR255" s="399"/>
      <c r="BS255" s="399"/>
      <c r="BT255" s="399"/>
      <c r="BU255" s="399"/>
      <c r="BV255" s="399">
        <v>20165.776397594014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106729.992</v>
      </c>
      <c r="CJ255" s="399">
        <v>-14355.823799999969</v>
      </c>
      <c r="CK255" s="399"/>
      <c r="CL255" s="399"/>
      <c r="CM255" s="399"/>
      <c r="CN255" s="399"/>
      <c r="CO255" s="399">
        <v>-14357.251860000008</v>
      </c>
      <c r="CP255" s="399">
        <v>0</v>
      </c>
      <c r="CQ255" s="399">
        <v>31</v>
      </c>
      <c r="CR255" s="399">
        <v>-1106.5234850894703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-84.230692784616622</v>
      </c>
      <c r="DA255" s="399">
        <v>0</v>
      </c>
      <c r="DB255" s="399">
        <v>0</v>
      </c>
      <c r="DC255" s="399">
        <v>0</v>
      </c>
      <c r="DD255" s="399">
        <v>0</v>
      </c>
      <c r="DE255" s="399">
        <v>0</v>
      </c>
      <c r="DF255" s="399">
        <v>0</v>
      </c>
      <c r="DG255" s="399">
        <v>0</v>
      </c>
      <c r="DH255" s="399">
        <v>0</v>
      </c>
      <c r="DI255" s="399">
        <v>-878.84991001263643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-117.39999609780762</v>
      </c>
      <c r="DP255" s="399">
        <v>-26.042886194413484</v>
      </c>
      <c r="DQ255" s="399">
        <v>0</v>
      </c>
      <c r="DR255" s="399">
        <v>0</v>
      </c>
      <c r="DS255" s="399"/>
      <c r="DT255" s="399"/>
      <c r="DU255" s="399"/>
      <c r="DV255" s="399">
        <v>74569.716958487232</v>
      </c>
      <c r="DW255" s="399">
        <v>0</v>
      </c>
      <c r="DX255" s="399">
        <v>0</v>
      </c>
      <c r="DY255" s="399">
        <v>-14357.251860000004</v>
      </c>
      <c r="DZ255" s="399">
        <v>0</v>
      </c>
      <c r="EA255" s="399">
        <v>0</v>
      </c>
      <c r="EB255" s="399">
        <v>0</v>
      </c>
      <c r="EC255" s="399">
        <v>-13250.588887754719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0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229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254</v>
      </c>
      <c r="B256" s="399" t="s">
        <v>2339</v>
      </c>
      <c r="C256" s="399" t="s">
        <v>2336</v>
      </c>
      <c r="D256" s="399" t="s">
        <v>1822</v>
      </c>
      <c r="E256" s="399" t="s">
        <v>888</v>
      </c>
      <c r="F256" s="399" t="s">
        <v>1237</v>
      </c>
      <c r="G256" s="399" t="s">
        <v>1237</v>
      </c>
      <c r="H256" s="399" t="s">
        <v>1237</v>
      </c>
      <c r="I256" s="399" t="s">
        <v>1237</v>
      </c>
      <c r="J256" s="399" t="s">
        <v>2337</v>
      </c>
      <c r="K256" s="788">
        <v>44682</v>
      </c>
      <c r="L256" s="399">
        <v>0</v>
      </c>
      <c r="M256" s="399">
        <v>0</v>
      </c>
      <c r="N256" s="399">
        <v>0.2</v>
      </c>
      <c r="O256" s="399">
        <v>0.2</v>
      </c>
      <c r="P256" s="399">
        <v>0.2</v>
      </c>
      <c r="Q256" s="399">
        <v>0.2</v>
      </c>
      <c r="R256" s="399"/>
      <c r="S256" s="399">
        <v>707.13</v>
      </c>
      <c r="T256" s="399">
        <v>119.97</v>
      </c>
      <c r="U256" s="399"/>
      <c r="V256" s="399">
        <v>165.42000000000002</v>
      </c>
      <c r="W256" s="399">
        <v>165.42000000000002</v>
      </c>
      <c r="X256" s="399">
        <v>145.80599999999998</v>
      </c>
      <c r="Y256" s="399">
        <v>0</v>
      </c>
      <c r="Z256" s="399">
        <v>12.17897591562442</v>
      </c>
      <c r="AA256" s="399">
        <v>0</v>
      </c>
      <c r="AB256" s="399">
        <v>0</v>
      </c>
      <c r="AC256" s="399">
        <v>0</v>
      </c>
      <c r="AD256" s="399">
        <v>21.507842160419401</v>
      </c>
      <c r="AE256" s="399">
        <v>101.8725897327658</v>
      </c>
      <c r="AF256" s="399">
        <v>23.9947685147058</v>
      </c>
      <c r="AG256" s="399">
        <v>0</v>
      </c>
      <c r="AH256" s="399">
        <v>0</v>
      </c>
      <c r="AI256" s="399">
        <v>0</v>
      </c>
      <c r="AJ256" s="399">
        <v>0</v>
      </c>
      <c r="AK256" s="399">
        <v>0</v>
      </c>
      <c r="AL256" s="399">
        <v>1.8820451817713022</v>
      </c>
      <c r="AM256" s="399"/>
      <c r="AN256" s="399">
        <v>0.43025975024137009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3.5544827012862399</v>
      </c>
      <c r="BH256" s="399">
        <v>0</v>
      </c>
      <c r="BI256" s="399">
        <v>0</v>
      </c>
      <c r="BJ256" s="399">
        <v>0</v>
      </c>
      <c r="BK256" s="399">
        <v>975.44</v>
      </c>
      <c r="BL256" s="399">
        <v>2</v>
      </c>
      <c r="BM256" s="399"/>
      <c r="BN256" s="399"/>
      <c r="BO256" s="399"/>
      <c r="BP256" s="399"/>
      <c r="BQ256" s="399"/>
      <c r="BR256" s="399"/>
      <c r="BS256" s="399"/>
      <c r="BT256" s="399"/>
      <c r="BU256" s="399"/>
      <c r="BV256" s="399">
        <v>27.54925121599204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145.80599999999998</v>
      </c>
      <c r="CJ256" s="399">
        <v>-19.644000000000005</v>
      </c>
      <c r="CK256" s="399"/>
      <c r="CL256" s="399"/>
      <c r="CM256" s="399"/>
      <c r="CN256" s="399"/>
      <c r="CO256" s="399">
        <v>-19.614000000000011</v>
      </c>
      <c r="CP256" s="399">
        <v>0</v>
      </c>
      <c r="CQ256" s="399">
        <v>31</v>
      </c>
      <c r="CR256" s="399">
        <v>-1.5116647564713617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-0.1150708244437979</v>
      </c>
      <c r="DA256" s="399">
        <v>0</v>
      </c>
      <c r="DB256" s="399">
        <v>0</v>
      </c>
      <c r="DC256" s="399">
        <v>0</v>
      </c>
      <c r="DD256" s="399">
        <v>0</v>
      </c>
      <c r="DE256" s="399">
        <v>0</v>
      </c>
      <c r="DF256" s="399">
        <v>0</v>
      </c>
      <c r="DG256" s="399">
        <v>0</v>
      </c>
      <c r="DH256" s="399">
        <v>0</v>
      </c>
      <c r="DI256" s="399">
        <v>-1.2006310332280989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-0.16038469937814415</v>
      </c>
      <c r="DP256" s="399">
        <v>-3.5578199421322065E-2</v>
      </c>
      <c r="DQ256" s="399">
        <v>0</v>
      </c>
      <c r="DR256" s="399">
        <v>0</v>
      </c>
      <c r="DS256" s="399"/>
      <c r="DT256" s="399"/>
      <c r="DU256" s="399"/>
      <c r="DV256" s="399">
        <v>101.8725897327658</v>
      </c>
      <c r="DW256" s="399">
        <v>0</v>
      </c>
      <c r="DX256" s="399">
        <v>0</v>
      </c>
      <c r="DY256" s="399">
        <v>-19.614000000000019</v>
      </c>
      <c r="DZ256" s="399">
        <v>0</v>
      </c>
      <c r="EA256" s="399">
        <v>0</v>
      </c>
      <c r="EB256" s="399">
        <v>0</v>
      </c>
      <c r="EC256" s="399">
        <v>-18.102144684701599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0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229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255</v>
      </c>
      <c r="B257" s="399" t="s">
        <v>954</v>
      </c>
      <c r="C257" s="399" t="s">
        <v>2344</v>
      </c>
      <c r="D257" s="399" t="s">
        <v>533</v>
      </c>
      <c r="E257" s="399" t="s">
        <v>888</v>
      </c>
      <c r="F257" s="399" t="s">
        <v>1237</v>
      </c>
      <c r="G257" s="399" t="s">
        <v>1237</v>
      </c>
      <c r="H257" s="399" t="s">
        <v>1237</v>
      </c>
      <c r="I257" s="399" t="s">
        <v>891</v>
      </c>
      <c r="J257" s="399" t="s">
        <v>2337</v>
      </c>
      <c r="K257" s="788">
        <v>44682</v>
      </c>
      <c r="L257" s="399">
        <v>0</v>
      </c>
      <c r="M257" s="399">
        <v>0</v>
      </c>
      <c r="N257" s="399">
        <v>107.97199999999999</v>
      </c>
      <c r="O257" s="399">
        <v>107.97199999999999</v>
      </c>
      <c r="P257" s="399">
        <v>107.97199999999999</v>
      </c>
      <c r="Q257" s="399">
        <v>107.97199999999999</v>
      </c>
      <c r="R257" s="399"/>
      <c r="S257" s="399">
        <v>3312.96</v>
      </c>
      <c r="T257" s="399">
        <v>119.97</v>
      </c>
      <c r="U257" s="399"/>
      <c r="V257" s="399">
        <v>370660.31796000001</v>
      </c>
      <c r="W257" s="399">
        <v>370660.31796000001</v>
      </c>
      <c r="X257" s="399">
        <v>321736.04532000003</v>
      </c>
      <c r="Y257" s="399">
        <v>0</v>
      </c>
      <c r="Z257" s="399">
        <v>5720.199485893826</v>
      </c>
      <c r="AA257" s="399">
        <v>0</v>
      </c>
      <c r="AB257" s="399">
        <v>0</v>
      </c>
      <c r="AC257" s="399">
        <v>0</v>
      </c>
      <c r="AD257" s="399">
        <v>80724.078592851598</v>
      </c>
      <c r="AE257" s="399">
        <v>269194.79822994053</v>
      </c>
      <c r="AF257" s="399">
        <v>12953.815730349072</v>
      </c>
      <c r="AG257" s="399">
        <v>0</v>
      </c>
      <c r="AH257" s="399">
        <v>0</v>
      </c>
      <c r="AI257" s="399">
        <v>0</v>
      </c>
      <c r="AJ257" s="399">
        <v>0</v>
      </c>
      <c r="AK257" s="399">
        <v>0</v>
      </c>
      <c r="AL257" s="399">
        <v>1016.0409118310552</v>
      </c>
      <c r="AM257" s="399"/>
      <c r="AN257" s="399">
        <v>90.775514699924088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961.36621200312504</v>
      </c>
      <c r="BH257" s="399">
        <v>0</v>
      </c>
      <c r="BI257" s="399">
        <v>0</v>
      </c>
      <c r="BJ257" s="399">
        <v>0</v>
      </c>
      <c r="BK257" s="399">
        <v>0</v>
      </c>
      <c r="BL257" s="399">
        <v>0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>
        <v>13915.181942352197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321730.08570000005</v>
      </c>
      <c r="CJ257" s="399">
        <v>-48930.262259999989</v>
      </c>
      <c r="CK257" s="399"/>
      <c r="CL257" s="399"/>
      <c r="CM257" s="399"/>
      <c r="CN257" s="399"/>
      <c r="CO257" s="399">
        <v>-48924.272639999988</v>
      </c>
      <c r="CP257" s="399">
        <v>0</v>
      </c>
      <c r="CQ257" s="399">
        <v>31</v>
      </c>
      <c r="CR257" s="399">
        <v>-1089.8900793546636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-431.88834132539341</v>
      </c>
      <c r="DA257" s="399">
        <v>0</v>
      </c>
      <c r="DB257" s="399">
        <v>0</v>
      </c>
      <c r="DC257" s="399">
        <v>0</v>
      </c>
      <c r="DD257" s="399">
        <v>0</v>
      </c>
      <c r="DE257" s="399">
        <v>0</v>
      </c>
      <c r="DF257" s="399">
        <v>0</v>
      </c>
      <c r="DG257" s="399">
        <v>0</v>
      </c>
      <c r="DH257" s="399">
        <v>0</v>
      </c>
      <c r="DI257" s="399">
        <v>-563.91022255071039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-86.58528380628502</v>
      </c>
      <c r="DP257" s="399">
        <v>-7.50623167227522</v>
      </c>
      <c r="DQ257" s="399">
        <v>0</v>
      </c>
      <c r="DR257" s="399">
        <v>0</v>
      </c>
      <c r="DS257" s="399"/>
      <c r="DT257" s="399"/>
      <c r="DU257" s="399"/>
      <c r="DV257" s="399">
        <v>269194.79822994053</v>
      </c>
      <c r="DW257" s="399">
        <v>0</v>
      </c>
      <c r="DX257" s="399">
        <v>0</v>
      </c>
      <c r="DY257" s="399">
        <v>-48924.272639999981</v>
      </c>
      <c r="DZ257" s="399">
        <v>0</v>
      </c>
      <c r="EA257" s="399">
        <v>0</v>
      </c>
      <c r="EB257" s="399">
        <v>0</v>
      </c>
      <c r="EC257" s="399">
        <v>-47834.291821876366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0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229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256</v>
      </c>
      <c r="B258" s="399" t="s">
        <v>2339</v>
      </c>
      <c r="C258" s="399" t="s">
        <v>2344</v>
      </c>
      <c r="D258" s="399" t="s">
        <v>533</v>
      </c>
      <c r="E258" s="399" t="s">
        <v>888</v>
      </c>
      <c r="F258" s="399" t="s">
        <v>1237</v>
      </c>
      <c r="G258" s="399" t="s">
        <v>1237</v>
      </c>
      <c r="H258" s="399" t="s">
        <v>1237</v>
      </c>
      <c r="I258" s="399" t="s">
        <v>891</v>
      </c>
      <c r="J258" s="399" t="s">
        <v>2337</v>
      </c>
      <c r="K258" s="788">
        <v>44682</v>
      </c>
      <c r="L258" s="399">
        <v>0</v>
      </c>
      <c r="M258" s="399">
        <v>0</v>
      </c>
      <c r="N258" s="399">
        <v>3.383</v>
      </c>
      <c r="O258" s="399">
        <v>3.383</v>
      </c>
      <c r="P258" s="399">
        <v>3.383</v>
      </c>
      <c r="Q258" s="399">
        <v>3.383</v>
      </c>
      <c r="R258" s="399"/>
      <c r="S258" s="399">
        <v>3312.96</v>
      </c>
      <c r="T258" s="399">
        <v>119.97</v>
      </c>
      <c r="U258" s="399"/>
      <c r="V258" s="399">
        <v>11613.60219</v>
      </c>
      <c r="W258" s="399">
        <v>11613.60219</v>
      </c>
      <c r="X258" s="399">
        <v>10080.69723</v>
      </c>
      <c r="Y258" s="399">
        <v>0</v>
      </c>
      <c r="Z258" s="399">
        <v>179.22641852312464</v>
      </c>
      <c r="AA258" s="399">
        <v>0</v>
      </c>
      <c r="AB258" s="399">
        <v>0</v>
      </c>
      <c r="AC258" s="399">
        <v>0</v>
      </c>
      <c r="AD258" s="399">
        <v>2529.2627521914665</v>
      </c>
      <c r="AE258" s="399">
        <v>8434.4645131320049</v>
      </c>
      <c r="AF258" s="399">
        <v>405.87150942624862</v>
      </c>
      <c r="AG258" s="399">
        <v>0</v>
      </c>
      <c r="AH258" s="399">
        <v>0</v>
      </c>
      <c r="AI258" s="399">
        <v>0</v>
      </c>
      <c r="AJ258" s="399">
        <v>0</v>
      </c>
      <c r="AK258" s="399">
        <v>0</v>
      </c>
      <c r="AL258" s="399">
        <v>31.834794249661574</v>
      </c>
      <c r="AM258" s="399"/>
      <c r="AN258" s="399">
        <v>2.8441963308065352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30.121715770816248</v>
      </c>
      <c r="BH258" s="399">
        <v>0</v>
      </c>
      <c r="BI258" s="399">
        <v>0</v>
      </c>
      <c r="BJ258" s="399">
        <v>0</v>
      </c>
      <c r="BK258" s="399">
        <v>0</v>
      </c>
      <c r="BL258" s="399">
        <v>0</v>
      </c>
      <c r="BM258" s="399"/>
      <c r="BN258" s="399"/>
      <c r="BO258" s="399"/>
      <c r="BP258" s="399"/>
      <c r="BQ258" s="399"/>
      <c r="BR258" s="399"/>
      <c r="BS258" s="399"/>
      <c r="BT258" s="399"/>
      <c r="BU258" s="399"/>
      <c r="BV258" s="399">
        <v>435.99322519706487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10071.757800000001</v>
      </c>
      <c r="CJ258" s="399">
        <v>-1541.874389999999</v>
      </c>
      <c r="CK258" s="399"/>
      <c r="CL258" s="399"/>
      <c r="CM258" s="399"/>
      <c r="CN258" s="399"/>
      <c r="CO258" s="399">
        <v>-1532.9049599999996</v>
      </c>
      <c r="CP258" s="399">
        <v>0</v>
      </c>
      <c r="CQ258" s="399">
        <v>31</v>
      </c>
      <c r="CR258" s="399">
        <v>-34.148650932249438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-13.532010694475048</v>
      </c>
      <c r="DA258" s="399">
        <v>0</v>
      </c>
      <c r="DB258" s="399">
        <v>0</v>
      </c>
      <c r="DC258" s="399">
        <v>0</v>
      </c>
      <c r="DD258" s="399">
        <v>0</v>
      </c>
      <c r="DE258" s="399">
        <v>0</v>
      </c>
      <c r="DF258" s="399">
        <v>0</v>
      </c>
      <c r="DG258" s="399">
        <v>0</v>
      </c>
      <c r="DH258" s="399">
        <v>0</v>
      </c>
      <c r="DI258" s="399">
        <v>-17.668546316536236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-2.7129071899813084</v>
      </c>
      <c r="DP258" s="399">
        <v>-0.23518673125724332</v>
      </c>
      <c r="DQ258" s="399">
        <v>0</v>
      </c>
      <c r="DR258" s="399">
        <v>0</v>
      </c>
      <c r="DS258" s="399"/>
      <c r="DT258" s="399"/>
      <c r="DU258" s="399"/>
      <c r="DV258" s="399">
        <v>8434.4645131320049</v>
      </c>
      <c r="DW258" s="399">
        <v>0</v>
      </c>
      <c r="DX258" s="399">
        <v>0</v>
      </c>
      <c r="DY258" s="399">
        <v>-1532.9049599999998</v>
      </c>
      <c r="DZ258" s="399">
        <v>0</v>
      </c>
      <c r="EA258" s="399">
        <v>0</v>
      </c>
      <c r="EB258" s="399">
        <v>0</v>
      </c>
      <c r="EC258" s="399">
        <v>-1498.7534660227448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0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229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257</v>
      </c>
      <c r="B259" s="399" t="s">
        <v>954</v>
      </c>
      <c r="C259" s="399" t="s">
        <v>2344</v>
      </c>
      <c r="D259" s="399" t="s">
        <v>533</v>
      </c>
      <c r="E259" s="399" t="s">
        <v>888</v>
      </c>
      <c r="F259" s="399" t="s">
        <v>1237</v>
      </c>
      <c r="G259" s="399" t="s">
        <v>1237</v>
      </c>
      <c r="H259" s="399" t="s">
        <v>1237</v>
      </c>
      <c r="I259" s="399" t="s">
        <v>2322</v>
      </c>
      <c r="J259" s="399" t="s">
        <v>2337</v>
      </c>
      <c r="K259" s="788">
        <v>44682</v>
      </c>
      <c r="L259" s="399">
        <v>0</v>
      </c>
      <c r="M259" s="399">
        <v>0</v>
      </c>
      <c r="N259" s="399">
        <v>2469.2080000000001</v>
      </c>
      <c r="O259" s="399">
        <v>2469.2080000000001</v>
      </c>
      <c r="P259" s="399">
        <v>2469.2080000000001</v>
      </c>
      <c r="Q259" s="399">
        <v>2469.2080000000001</v>
      </c>
      <c r="R259" s="399"/>
      <c r="S259" s="399">
        <v>72.13</v>
      </c>
      <c r="T259" s="399">
        <v>119.97</v>
      </c>
      <c r="U259" s="399"/>
      <c r="V259" s="399">
        <v>474334.85679999995</v>
      </c>
      <c r="W259" s="399">
        <v>474334.85679999995</v>
      </c>
      <c r="X259" s="399">
        <v>459297.38008000003</v>
      </c>
      <c r="Y259" s="399">
        <v>0</v>
      </c>
      <c r="Z259" s="399">
        <v>130815.04771760201</v>
      </c>
      <c r="AA259" s="399">
        <v>0</v>
      </c>
      <c r="AB259" s="399">
        <v>0</v>
      </c>
      <c r="AC259" s="399">
        <v>0</v>
      </c>
      <c r="AD259" s="399">
        <v>0</v>
      </c>
      <c r="AE259" s="399">
        <v>0</v>
      </c>
      <c r="AF259" s="399">
        <v>296240.37187329843</v>
      </c>
      <c r="AG259" s="399">
        <v>0</v>
      </c>
      <c r="AH259" s="399">
        <v>0</v>
      </c>
      <c r="AI259" s="399">
        <v>0</v>
      </c>
      <c r="AJ259" s="399">
        <v>0</v>
      </c>
      <c r="AK259" s="399">
        <v>0</v>
      </c>
      <c r="AL259" s="399">
        <v>23235.805095955766</v>
      </c>
      <c r="AM259" s="399"/>
      <c r="AN259" s="399">
        <v>2075.9421618676156</v>
      </c>
      <c r="AO259" s="399">
        <v>0</v>
      </c>
      <c r="AP259" s="399">
        <v>0</v>
      </c>
      <c r="AQ259" s="399">
        <v>0</v>
      </c>
      <c r="AR259" s="399">
        <v>0</v>
      </c>
      <c r="AS259" s="399">
        <v>0</v>
      </c>
      <c r="AT259" s="399">
        <v>0</v>
      </c>
      <c r="AU259" s="399">
        <v>0</v>
      </c>
      <c r="AV259" s="399">
        <v>0</v>
      </c>
      <c r="AW259" s="399">
        <v>0</v>
      </c>
      <c r="AX259" s="399">
        <v>0</v>
      </c>
      <c r="AY259" s="399">
        <v>0</v>
      </c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>
        <v>0</v>
      </c>
      <c r="BG259" s="399">
        <v>21985.451242987187</v>
      </c>
      <c r="BH259" s="399">
        <v>0</v>
      </c>
      <c r="BI259" s="399">
        <v>0</v>
      </c>
      <c r="BJ259" s="399">
        <v>0</v>
      </c>
      <c r="BK259" s="399">
        <v>0</v>
      </c>
      <c r="BL259" s="399">
        <v>0</v>
      </c>
      <c r="BM259" s="399"/>
      <c r="BN259" s="399"/>
      <c r="BO259" s="399"/>
      <c r="BP259" s="399"/>
      <c r="BQ259" s="399"/>
      <c r="BR259" s="399"/>
      <c r="BS259" s="399"/>
      <c r="BT259" s="399"/>
      <c r="BU259" s="399"/>
      <c r="BV259" s="399">
        <v>318225.82311628561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459297.75210000004</v>
      </c>
      <c r="CJ259" s="399">
        <v>-15037.134699999937</v>
      </c>
      <c r="CK259" s="399"/>
      <c r="CL259" s="399"/>
      <c r="CM259" s="399"/>
      <c r="CN259" s="399"/>
      <c r="CO259" s="399">
        <v>-15037.476719999973</v>
      </c>
      <c r="CP259" s="399">
        <v>0</v>
      </c>
      <c r="CQ259" s="399">
        <v>31</v>
      </c>
      <c r="CR259" s="399">
        <v>-15047.819393507438</v>
      </c>
      <c r="CS259" s="399">
        <v>0</v>
      </c>
      <c r="CT259" s="399">
        <v>0</v>
      </c>
      <c r="CU259" s="399">
        <v>0</v>
      </c>
      <c r="CV259" s="399">
        <v>0</v>
      </c>
      <c r="CW259" s="399">
        <v>0</v>
      </c>
      <c r="CX259" s="399">
        <v>0</v>
      </c>
      <c r="CY259" s="399">
        <v>0</v>
      </c>
      <c r="CZ259" s="399">
        <v>0</v>
      </c>
      <c r="DA259" s="399">
        <v>0</v>
      </c>
      <c r="DB259" s="399">
        <v>0</v>
      </c>
      <c r="DC259" s="399">
        <v>0</v>
      </c>
      <c r="DD259" s="399">
        <v>0</v>
      </c>
      <c r="DE259" s="399">
        <v>0</v>
      </c>
      <c r="DF259" s="399">
        <v>0</v>
      </c>
      <c r="DG259" s="399">
        <v>0</v>
      </c>
      <c r="DH259" s="399">
        <v>0</v>
      </c>
      <c r="DI259" s="399">
        <v>-12896.043722483548</v>
      </c>
      <c r="DJ259" s="399"/>
      <c r="DK259" s="399">
        <v>0</v>
      </c>
      <c r="DL259" s="399">
        <v>0</v>
      </c>
      <c r="DM259" s="399">
        <v>0</v>
      </c>
      <c r="DN259" s="399">
        <v>0</v>
      </c>
      <c r="DO259" s="399">
        <v>-1980.1159139105403</v>
      </c>
      <c r="DP259" s="399">
        <v>-171.65975711328292</v>
      </c>
      <c r="DQ259" s="399">
        <v>0</v>
      </c>
      <c r="DR259" s="399">
        <v>0</v>
      </c>
      <c r="DS259" s="399"/>
      <c r="DT259" s="399"/>
      <c r="DU259" s="399"/>
      <c r="DV259" s="399">
        <v>0</v>
      </c>
      <c r="DW259" s="399">
        <v>0</v>
      </c>
      <c r="DX259" s="399">
        <v>0</v>
      </c>
      <c r="DY259" s="399">
        <v>-15037.476719999948</v>
      </c>
      <c r="DZ259" s="399">
        <v>0</v>
      </c>
      <c r="EA259" s="399">
        <v>0</v>
      </c>
      <c r="EB259" s="399">
        <v>0</v>
      </c>
      <c r="EC259" s="399">
        <v>0</v>
      </c>
      <c r="ED259" s="399">
        <v>0</v>
      </c>
      <c r="EE259" s="399">
        <v>0</v>
      </c>
      <c r="EF259" s="399">
        <v>0</v>
      </c>
      <c r="EG259" s="399">
        <v>0</v>
      </c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>
        <v>0</v>
      </c>
      <c r="EN259" s="399">
        <v>0</v>
      </c>
      <c r="EO259" s="399">
        <v>0</v>
      </c>
      <c r="EP259" s="399">
        <v>0</v>
      </c>
      <c r="EQ259" s="399">
        <v>0</v>
      </c>
      <c r="ER259" s="399">
        <v>0</v>
      </c>
      <c r="ES259" s="399">
        <v>0</v>
      </c>
      <c r="ET259" s="399">
        <v>0</v>
      </c>
      <c r="EU259" s="399">
        <v>0</v>
      </c>
      <c r="EV259" s="399">
        <v>229</v>
      </c>
      <c r="EW259" s="399">
        <v>0</v>
      </c>
      <c r="EX259" s="399">
        <v>0</v>
      </c>
      <c r="EY259" s="399">
        <v>0</v>
      </c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258</v>
      </c>
      <c r="B260" s="399" t="s">
        <v>2339</v>
      </c>
      <c r="C260" s="399" t="s">
        <v>2344</v>
      </c>
      <c r="D260" s="399" t="s">
        <v>533</v>
      </c>
      <c r="E260" s="399" t="s">
        <v>888</v>
      </c>
      <c r="F260" s="399" t="s">
        <v>1237</v>
      </c>
      <c r="G260" s="399" t="s">
        <v>1237</v>
      </c>
      <c r="H260" s="399" t="s">
        <v>1237</v>
      </c>
      <c r="I260" s="399" t="s">
        <v>2322</v>
      </c>
      <c r="J260" s="399" t="s">
        <v>2337</v>
      </c>
      <c r="K260" s="788">
        <v>44682</v>
      </c>
      <c r="L260" s="399">
        <v>0</v>
      </c>
      <c r="M260" s="399">
        <v>0</v>
      </c>
      <c r="N260" s="399">
        <v>17.451000000000001</v>
      </c>
      <c r="O260" s="399">
        <v>17.451000000000001</v>
      </c>
      <c r="P260" s="399">
        <v>17.451000000000001</v>
      </c>
      <c r="Q260" s="399">
        <v>17.451000000000001</v>
      </c>
      <c r="R260" s="399"/>
      <c r="S260" s="399">
        <v>72.13</v>
      </c>
      <c r="T260" s="399">
        <v>119.97</v>
      </c>
      <c r="U260" s="399"/>
      <c r="V260" s="399">
        <v>3352.3370999999997</v>
      </c>
      <c r="W260" s="399">
        <v>3352.3370999999997</v>
      </c>
      <c r="X260" s="399">
        <v>3246.0605100000002</v>
      </c>
      <c r="Y260" s="399">
        <v>0</v>
      </c>
      <c r="Z260" s="399">
        <v>924.52859286049318</v>
      </c>
      <c r="AA260" s="399">
        <v>0</v>
      </c>
      <c r="AB260" s="399">
        <v>0</v>
      </c>
      <c r="AC260" s="399">
        <v>0</v>
      </c>
      <c r="AD260" s="399">
        <v>0</v>
      </c>
      <c r="AE260" s="399">
        <v>0</v>
      </c>
      <c r="AF260" s="399">
        <v>2093.6635267506545</v>
      </c>
      <c r="AG260" s="399">
        <v>0</v>
      </c>
      <c r="AH260" s="399">
        <v>0</v>
      </c>
      <c r="AI260" s="399">
        <v>0</v>
      </c>
      <c r="AJ260" s="399">
        <v>0</v>
      </c>
      <c r="AK260" s="399">
        <v>0</v>
      </c>
      <c r="AL260" s="399">
        <v>164.21785233545498</v>
      </c>
      <c r="AM260" s="399"/>
      <c r="AN260" s="399">
        <v>14.671614002041041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155.38104106311391</v>
      </c>
      <c r="BH260" s="399">
        <v>0</v>
      </c>
      <c r="BI260" s="399">
        <v>0</v>
      </c>
      <c r="BJ260" s="399">
        <v>0</v>
      </c>
      <c r="BK260" s="399">
        <v>0</v>
      </c>
      <c r="BL260" s="399">
        <v>0</v>
      </c>
      <c r="BM260" s="399"/>
      <c r="BN260" s="399"/>
      <c r="BO260" s="399"/>
      <c r="BP260" s="399"/>
      <c r="BQ260" s="399"/>
      <c r="BR260" s="399"/>
      <c r="BS260" s="399"/>
      <c r="BT260" s="399"/>
      <c r="BU260" s="399"/>
      <c r="BV260" s="399">
        <v>2249.0445678137685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3245.8744999999999</v>
      </c>
      <c r="CJ260" s="399">
        <v>-106.49260000000049</v>
      </c>
      <c r="CK260" s="399"/>
      <c r="CL260" s="399"/>
      <c r="CM260" s="399"/>
      <c r="CN260" s="399"/>
      <c r="CO260" s="399">
        <v>-106.27658999999981</v>
      </c>
      <c r="CP260" s="399">
        <v>0</v>
      </c>
      <c r="CQ260" s="399">
        <v>31</v>
      </c>
      <c r="CR260" s="399">
        <v>-106.34968631079164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0</v>
      </c>
      <c r="DA260" s="399">
        <v>0</v>
      </c>
      <c r="DB260" s="399">
        <v>0</v>
      </c>
      <c r="DC260" s="399">
        <v>0</v>
      </c>
      <c r="DD260" s="399">
        <v>0</v>
      </c>
      <c r="DE260" s="399">
        <v>0</v>
      </c>
      <c r="DF260" s="399">
        <v>0</v>
      </c>
      <c r="DG260" s="399">
        <v>0</v>
      </c>
      <c r="DH260" s="399">
        <v>0</v>
      </c>
      <c r="DI260" s="399">
        <v>-91.142122899755918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-13.994366944239971</v>
      </c>
      <c r="DP260" s="399">
        <v>-1.2131964667957877</v>
      </c>
      <c r="DQ260" s="399">
        <v>0</v>
      </c>
      <c r="DR260" s="399">
        <v>0</v>
      </c>
      <c r="DS260" s="399"/>
      <c r="DT260" s="399"/>
      <c r="DU260" s="399"/>
      <c r="DV260" s="399">
        <v>0</v>
      </c>
      <c r="DW260" s="399">
        <v>0</v>
      </c>
      <c r="DX260" s="399">
        <v>0</v>
      </c>
      <c r="DY260" s="399">
        <v>-106.27658999999994</v>
      </c>
      <c r="DZ260" s="399">
        <v>0</v>
      </c>
      <c r="EA260" s="399">
        <v>0</v>
      </c>
      <c r="EB260" s="399">
        <v>0</v>
      </c>
      <c r="EC260" s="399">
        <v>0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229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259</v>
      </c>
      <c r="B261" s="399" t="s">
        <v>954</v>
      </c>
      <c r="C261" s="399" t="s">
        <v>2344</v>
      </c>
      <c r="D261" s="399" t="s">
        <v>533</v>
      </c>
      <c r="E261" s="399" t="s">
        <v>888</v>
      </c>
      <c r="F261" s="399" t="s">
        <v>1237</v>
      </c>
      <c r="G261" s="399" t="s">
        <v>1237</v>
      </c>
      <c r="H261" s="399" t="s">
        <v>1237</v>
      </c>
      <c r="I261" s="399" t="s">
        <v>1237</v>
      </c>
      <c r="J261" s="399" t="s">
        <v>2337</v>
      </c>
      <c r="K261" s="788">
        <v>44682</v>
      </c>
      <c r="L261" s="399">
        <v>10370</v>
      </c>
      <c r="M261" s="399">
        <v>10370</v>
      </c>
      <c r="N261" s="399">
        <v>0</v>
      </c>
      <c r="O261" s="399">
        <v>0</v>
      </c>
      <c r="P261" s="399">
        <v>0</v>
      </c>
      <c r="Q261" s="399">
        <v>0</v>
      </c>
      <c r="R261" s="399">
        <v>46.29</v>
      </c>
      <c r="S261" s="399"/>
      <c r="T261" s="399"/>
      <c r="U261" s="399">
        <v>480027.3</v>
      </c>
      <c r="V261" s="399"/>
      <c r="W261" s="399">
        <v>480027.3</v>
      </c>
      <c r="X261" s="399">
        <v>426725.5</v>
      </c>
      <c r="Y261" s="399">
        <v>0</v>
      </c>
      <c r="Z261" s="399">
        <v>0</v>
      </c>
      <c r="AA261" s="399">
        <v>0</v>
      </c>
      <c r="AB261" s="399">
        <v>0</v>
      </c>
      <c r="AC261" s="399">
        <v>0</v>
      </c>
      <c r="AD261" s="399">
        <v>185757.93831335989</v>
      </c>
      <c r="AE261" s="399">
        <v>294232.45156827476</v>
      </c>
      <c r="AF261" s="399"/>
      <c r="AG261" s="399"/>
      <c r="AH261" s="399"/>
      <c r="AI261" s="399">
        <v>0</v>
      </c>
      <c r="AJ261" s="399">
        <v>0</v>
      </c>
      <c r="AK261" s="399">
        <v>0</v>
      </c>
      <c r="AL261" s="399">
        <v>0</v>
      </c>
      <c r="AM261" s="399"/>
      <c r="AN261" s="399">
        <v>0</v>
      </c>
      <c r="AO261" s="399">
        <v>0</v>
      </c>
      <c r="AP261" s="399">
        <v>0</v>
      </c>
      <c r="AQ261" s="399">
        <v>0</v>
      </c>
      <c r="AR261" s="399">
        <v>0</v>
      </c>
      <c r="AS261" s="399"/>
      <c r="AT261" s="399"/>
      <c r="AU261" s="399">
        <v>0</v>
      </c>
      <c r="AV261" s="399">
        <v>0</v>
      </c>
      <c r="AW261" s="399">
        <v>0</v>
      </c>
      <c r="AX261" s="399"/>
      <c r="AY261" s="399"/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/>
      <c r="BG261" s="399">
        <v>0</v>
      </c>
      <c r="BH261" s="399">
        <v>0</v>
      </c>
      <c r="BI261" s="399">
        <v>0</v>
      </c>
      <c r="BJ261" s="399">
        <v>0</v>
      </c>
      <c r="BK261" s="399">
        <v>384754.37</v>
      </c>
      <c r="BL261" s="399">
        <v>26</v>
      </c>
      <c r="BM261" s="399"/>
      <c r="BN261" s="399"/>
      <c r="BO261" s="399"/>
      <c r="BP261" s="399"/>
      <c r="BQ261" s="399"/>
      <c r="BR261" s="399"/>
      <c r="BS261" s="399"/>
      <c r="BT261" s="399"/>
      <c r="BU261" s="399"/>
      <c r="BV261" s="399">
        <v>0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426725.5</v>
      </c>
      <c r="CJ261" s="399">
        <v>-53301.830000000016</v>
      </c>
      <c r="CK261" s="399"/>
      <c r="CL261" s="399"/>
      <c r="CM261" s="399"/>
      <c r="CN261" s="399"/>
      <c r="CO261" s="399">
        <v>-53301.8</v>
      </c>
      <c r="CP261" s="399">
        <v>0</v>
      </c>
      <c r="CQ261" s="399">
        <v>31</v>
      </c>
      <c r="CR261" s="399">
        <v>-993.83838458961691</v>
      </c>
      <c r="CS261" s="399">
        <v>0</v>
      </c>
      <c r="CT261" s="399">
        <v>0</v>
      </c>
      <c r="CU261" s="399">
        <v>0</v>
      </c>
      <c r="CV261" s="399">
        <v>0</v>
      </c>
      <c r="CW261" s="399"/>
      <c r="CX261" s="399"/>
      <c r="CY261" s="399"/>
      <c r="CZ261" s="399">
        <v>-993.83838458961691</v>
      </c>
      <c r="DA261" s="399">
        <v>0</v>
      </c>
      <c r="DB261" s="399">
        <v>0</v>
      </c>
      <c r="DC261" s="399"/>
      <c r="DD261" s="399"/>
      <c r="DE261" s="399">
        <v>0</v>
      </c>
      <c r="DF261" s="399">
        <v>0</v>
      </c>
      <c r="DG261" s="399">
        <v>0</v>
      </c>
      <c r="DH261" s="399">
        <v>0</v>
      </c>
      <c r="DI261" s="399">
        <v>0</v>
      </c>
      <c r="DJ261" s="399"/>
      <c r="DK261" s="399">
        <v>0</v>
      </c>
      <c r="DL261" s="399">
        <v>0</v>
      </c>
      <c r="DM261" s="399"/>
      <c r="DN261" s="399">
        <v>0</v>
      </c>
      <c r="DO261" s="399">
        <v>0</v>
      </c>
      <c r="DP261" s="399">
        <v>0</v>
      </c>
      <c r="DQ261" s="399">
        <v>0</v>
      </c>
      <c r="DR261" s="399">
        <v>0</v>
      </c>
      <c r="DS261" s="399"/>
      <c r="DT261" s="399"/>
      <c r="DU261" s="399">
        <v>294232.45156827476</v>
      </c>
      <c r="DV261" s="399"/>
      <c r="DW261" s="399">
        <v>0</v>
      </c>
      <c r="DX261" s="399">
        <v>0</v>
      </c>
      <c r="DY261" s="399">
        <v>-53301.799999999988</v>
      </c>
      <c r="DZ261" s="399"/>
      <c r="EA261" s="399">
        <v>0</v>
      </c>
      <c r="EB261" s="399"/>
      <c r="EC261" s="399">
        <v>-52283.331789201417</v>
      </c>
      <c r="ED261" s="399"/>
      <c r="EE261" s="399">
        <v>0</v>
      </c>
      <c r="EF261" s="399">
        <v>0</v>
      </c>
      <c r="EG261" s="399"/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/>
      <c r="EN261" s="399"/>
      <c r="EO261" s="399">
        <v>0</v>
      </c>
      <c r="EP261" s="399">
        <v>0</v>
      </c>
      <c r="EQ261" s="399"/>
      <c r="ER261" s="399">
        <v>0</v>
      </c>
      <c r="ES261" s="399"/>
      <c r="ET261" s="399">
        <v>0</v>
      </c>
      <c r="EU261" s="399"/>
      <c r="EV261" s="399">
        <v>229</v>
      </c>
      <c r="EW261" s="399"/>
      <c r="EX261" s="399"/>
      <c r="EY261" s="399"/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260</v>
      </c>
      <c r="B262" s="399" t="s">
        <v>2339</v>
      </c>
      <c r="C262" s="399" t="s">
        <v>2344</v>
      </c>
      <c r="D262" s="399" t="s">
        <v>533</v>
      </c>
      <c r="E262" s="399" t="s">
        <v>888</v>
      </c>
      <c r="F262" s="399" t="s">
        <v>1237</v>
      </c>
      <c r="G262" s="399" t="s">
        <v>1237</v>
      </c>
      <c r="H262" s="399" t="s">
        <v>1237</v>
      </c>
      <c r="I262" s="399" t="s">
        <v>1237</v>
      </c>
      <c r="J262" s="399" t="s">
        <v>2337</v>
      </c>
      <c r="K262" s="788">
        <v>44682</v>
      </c>
      <c r="L262" s="399">
        <v>80</v>
      </c>
      <c r="M262" s="399">
        <v>80</v>
      </c>
      <c r="N262" s="399">
        <v>0</v>
      </c>
      <c r="O262" s="399">
        <v>0</v>
      </c>
      <c r="P262" s="399">
        <v>0</v>
      </c>
      <c r="Q262" s="399">
        <v>0</v>
      </c>
      <c r="R262" s="399">
        <v>46.29</v>
      </c>
      <c r="S262" s="399"/>
      <c r="T262" s="399"/>
      <c r="U262" s="399">
        <v>3703.2</v>
      </c>
      <c r="V262" s="399"/>
      <c r="W262" s="399">
        <v>3703.2</v>
      </c>
      <c r="X262" s="399">
        <v>3292</v>
      </c>
      <c r="Y262" s="399">
        <v>0</v>
      </c>
      <c r="Z262" s="399">
        <v>0</v>
      </c>
      <c r="AA262" s="399">
        <v>0</v>
      </c>
      <c r="AB262" s="399">
        <v>0</v>
      </c>
      <c r="AC262" s="399">
        <v>0</v>
      </c>
      <c r="AD262" s="399">
        <v>1433.040989881272</v>
      </c>
      <c r="AE262" s="399">
        <v>2269.8742647504323</v>
      </c>
      <c r="AF262" s="399"/>
      <c r="AG262" s="399"/>
      <c r="AH262" s="399"/>
      <c r="AI262" s="399">
        <v>0</v>
      </c>
      <c r="AJ262" s="399">
        <v>0</v>
      </c>
      <c r="AK262" s="399">
        <v>0</v>
      </c>
      <c r="AL262" s="399">
        <v>0</v>
      </c>
      <c r="AM262" s="399"/>
      <c r="AN262" s="399">
        <v>0</v>
      </c>
      <c r="AO262" s="399">
        <v>0</v>
      </c>
      <c r="AP262" s="399">
        <v>0</v>
      </c>
      <c r="AQ262" s="399">
        <v>0</v>
      </c>
      <c r="AR262" s="399">
        <v>0</v>
      </c>
      <c r="AS262" s="399"/>
      <c r="AT262" s="399"/>
      <c r="AU262" s="399">
        <v>0</v>
      </c>
      <c r="AV262" s="399">
        <v>0</v>
      </c>
      <c r="AW262" s="399">
        <v>0</v>
      </c>
      <c r="AX262" s="399"/>
      <c r="AY262" s="399"/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/>
      <c r="BG262" s="399">
        <v>0</v>
      </c>
      <c r="BH262" s="399">
        <v>0</v>
      </c>
      <c r="BI262" s="399">
        <v>0</v>
      </c>
      <c r="BJ262" s="399">
        <v>0</v>
      </c>
      <c r="BK262" s="399">
        <v>5541.09</v>
      </c>
      <c r="BL262" s="399">
        <v>1</v>
      </c>
      <c r="BM262" s="399"/>
      <c r="BN262" s="399"/>
      <c r="BO262" s="399"/>
      <c r="BP262" s="399"/>
      <c r="BQ262" s="399"/>
      <c r="BR262" s="399"/>
      <c r="BS262" s="399"/>
      <c r="BT262" s="399"/>
      <c r="BU262" s="399"/>
      <c r="BV262" s="399">
        <v>0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3292</v>
      </c>
      <c r="CJ262" s="399">
        <v>-411.23000000000047</v>
      </c>
      <c r="CK262" s="399"/>
      <c r="CL262" s="399"/>
      <c r="CM262" s="399"/>
      <c r="CN262" s="399"/>
      <c r="CO262" s="399">
        <v>-411.20000000000005</v>
      </c>
      <c r="CP262" s="399">
        <v>0</v>
      </c>
      <c r="CQ262" s="399">
        <v>31</v>
      </c>
      <c r="CR262" s="399">
        <v>-7.6670270749439169</v>
      </c>
      <c r="CS262" s="399">
        <v>0</v>
      </c>
      <c r="CT262" s="399">
        <v>0</v>
      </c>
      <c r="CU262" s="399">
        <v>0</v>
      </c>
      <c r="CV262" s="399">
        <v>0</v>
      </c>
      <c r="CW262" s="399"/>
      <c r="CX262" s="399"/>
      <c r="CY262" s="399"/>
      <c r="CZ262" s="399">
        <v>-7.6670270749439169</v>
      </c>
      <c r="DA262" s="399">
        <v>0</v>
      </c>
      <c r="DB262" s="399">
        <v>0</v>
      </c>
      <c r="DC262" s="399"/>
      <c r="DD262" s="399"/>
      <c r="DE262" s="399">
        <v>0</v>
      </c>
      <c r="DF262" s="399">
        <v>0</v>
      </c>
      <c r="DG262" s="399">
        <v>0</v>
      </c>
      <c r="DH262" s="399">
        <v>0</v>
      </c>
      <c r="DI262" s="399">
        <v>0</v>
      </c>
      <c r="DJ262" s="399"/>
      <c r="DK262" s="399">
        <v>0</v>
      </c>
      <c r="DL262" s="399">
        <v>0</v>
      </c>
      <c r="DM262" s="399"/>
      <c r="DN262" s="399">
        <v>0</v>
      </c>
      <c r="DO262" s="399">
        <v>0</v>
      </c>
      <c r="DP262" s="399">
        <v>0</v>
      </c>
      <c r="DQ262" s="399">
        <v>0</v>
      </c>
      <c r="DR262" s="399">
        <v>0</v>
      </c>
      <c r="DS262" s="399"/>
      <c r="DT262" s="399"/>
      <c r="DU262" s="399">
        <v>2269.8742647504323</v>
      </c>
      <c r="DV262" s="399"/>
      <c r="DW262" s="399">
        <v>0</v>
      </c>
      <c r="DX262" s="399">
        <v>0</v>
      </c>
      <c r="DY262" s="399">
        <v>-411.19999999999982</v>
      </c>
      <c r="DZ262" s="399"/>
      <c r="EA262" s="399">
        <v>0</v>
      </c>
      <c r="EB262" s="399"/>
      <c r="EC262" s="399">
        <v>-403.34296462257635</v>
      </c>
      <c r="ED262" s="399"/>
      <c r="EE262" s="399">
        <v>0</v>
      </c>
      <c r="EF262" s="399">
        <v>0</v>
      </c>
      <c r="EG262" s="399"/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/>
      <c r="EN262" s="399"/>
      <c r="EO262" s="399">
        <v>0</v>
      </c>
      <c r="EP262" s="399">
        <v>0</v>
      </c>
      <c r="EQ262" s="399"/>
      <c r="ER262" s="399">
        <v>0</v>
      </c>
      <c r="ES262" s="399"/>
      <c r="ET262" s="399">
        <v>0</v>
      </c>
      <c r="EU262" s="399"/>
      <c r="EV262" s="399">
        <v>229</v>
      </c>
      <c r="EW262" s="399"/>
      <c r="EX262" s="399"/>
      <c r="EY262" s="399"/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261</v>
      </c>
      <c r="B263" s="399" t="s">
        <v>954</v>
      </c>
      <c r="C263" s="399" t="s">
        <v>2345</v>
      </c>
      <c r="D263" s="399" t="s">
        <v>1822</v>
      </c>
      <c r="E263" s="399" t="s">
        <v>888</v>
      </c>
      <c r="F263" s="399" t="s">
        <v>1237</v>
      </c>
      <c r="G263" s="399" t="s">
        <v>1237</v>
      </c>
      <c r="H263" s="399" t="s">
        <v>1237</v>
      </c>
      <c r="I263" s="399" t="s">
        <v>891</v>
      </c>
      <c r="J263" s="399" t="s">
        <v>2337</v>
      </c>
      <c r="K263" s="788">
        <v>44682</v>
      </c>
      <c r="L263" s="399">
        <v>0</v>
      </c>
      <c r="M263" s="399">
        <v>0</v>
      </c>
      <c r="N263" s="399">
        <v>3.2000000000000001E-2</v>
      </c>
      <c r="O263" s="399">
        <v>3.2000000000000001E-2</v>
      </c>
      <c r="P263" s="399">
        <v>3.2000000000000001E-2</v>
      </c>
      <c r="Q263" s="399">
        <v>3.2000000000000001E-2</v>
      </c>
      <c r="R263" s="399"/>
      <c r="S263" s="399">
        <v>2187.66</v>
      </c>
      <c r="T263" s="399">
        <v>119.97</v>
      </c>
      <c r="U263" s="399"/>
      <c r="V263" s="399">
        <v>73.844159999999988</v>
      </c>
      <c r="W263" s="399">
        <v>73.844159999999988</v>
      </c>
      <c r="X263" s="399">
        <v>63.7104</v>
      </c>
      <c r="Y263" s="399">
        <v>0</v>
      </c>
      <c r="Z263" s="399">
        <v>1.9486361464999074</v>
      </c>
      <c r="AA263" s="399">
        <v>0</v>
      </c>
      <c r="AB263" s="399">
        <v>0</v>
      </c>
      <c r="AC263" s="399">
        <v>0</v>
      </c>
      <c r="AD263" s="399">
        <v>11.699092313296928</v>
      </c>
      <c r="AE263" s="399">
        <v>55.418682752533435</v>
      </c>
      <c r="AF263" s="399">
        <v>3.839162962352928</v>
      </c>
      <c r="AG263" s="399">
        <v>0</v>
      </c>
      <c r="AH263" s="399">
        <v>0</v>
      </c>
      <c r="AI263" s="399">
        <v>0</v>
      </c>
      <c r="AJ263" s="399">
        <v>0</v>
      </c>
      <c r="AK263" s="399">
        <v>0</v>
      </c>
      <c r="AL263" s="399">
        <v>0.30112722908340833</v>
      </c>
      <c r="AM263" s="399"/>
      <c r="AN263" s="399">
        <v>6.8841560038619215E-2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0.5687172322057984</v>
      </c>
      <c r="BH263" s="399">
        <v>0</v>
      </c>
      <c r="BI263" s="399">
        <v>0</v>
      </c>
      <c r="BJ263" s="399">
        <v>0</v>
      </c>
      <c r="BK263" s="399">
        <v>0</v>
      </c>
      <c r="BL263" s="399">
        <v>0</v>
      </c>
      <c r="BM263" s="399"/>
      <c r="BN263" s="399"/>
      <c r="BO263" s="399"/>
      <c r="BP263" s="399"/>
      <c r="BQ263" s="399"/>
      <c r="BR263" s="399"/>
      <c r="BS263" s="399"/>
      <c r="BT263" s="399"/>
      <c r="BU263" s="399"/>
      <c r="BV263" s="399">
        <v>4.407880194558726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59.728499999999997</v>
      </c>
      <c r="CJ263" s="399">
        <v>-14.145660000000007</v>
      </c>
      <c r="CK263" s="399"/>
      <c r="CL263" s="399"/>
      <c r="CM263" s="399"/>
      <c r="CN263" s="399"/>
      <c r="CO263" s="399">
        <v>-10.133759999999995</v>
      </c>
      <c r="CP263" s="399">
        <v>0</v>
      </c>
      <c r="CQ263" s="399">
        <v>31</v>
      </c>
      <c r="CR263" s="399">
        <v>-0.2860472774632008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-6.2592248338784628E-2</v>
      </c>
      <c r="DA263" s="399">
        <v>0</v>
      </c>
      <c r="DB263" s="399">
        <v>0</v>
      </c>
      <c r="DC263" s="399">
        <v>0</v>
      </c>
      <c r="DD263" s="399">
        <v>0</v>
      </c>
      <c r="DE263" s="399">
        <v>0</v>
      </c>
      <c r="DF263" s="399">
        <v>0</v>
      </c>
      <c r="DG263" s="399">
        <v>0</v>
      </c>
      <c r="DH263" s="399">
        <v>0</v>
      </c>
      <c r="DI263" s="399">
        <v>-0.19210096531649623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-2.5661551900503066E-2</v>
      </c>
      <c r="DP263" s="399">
        <v>-5.6925119074115321E-3</v>
      </c>
      <c r="DQ263" s="399">
        <v>0</v>
      </c>
      <c r="DR263" s="399">
        <v>0</v>
      </c>
      <c r="DS263" s="399"/>
      <c r="DT263" s="399"/>
      <c r="DU263" s="399"/>
      <c r="DV263" s="399">
        <v>55.418682752533435</v>
      </c>
      <c r="DW263" s="399">
        <v>0</v>
      </c>
      <c r="DX263" s="399">
        <v>0</v>
      </c>
      <c r="DY263" s="399">
        <v>-10.133759999999988</v>
      </c>
      <c r="DZ263" s="399">
        <v>0</v>
      </c>
      <c r="EA263" s="399">
        <v>0</v>
      </c>
      <c r="EB263" s="399">
        <v>0</v>
      </c>
      <c r="EC263" s="399">
        <v>-9.8475656312806379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0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229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262</v>
      </c>
      <c r="B264" s="399" t="s">
        <v>954</v>
      </c>
      <c r="C264" s="399" t="s">
        <v>2345</v>
      </c>
      <c r="D264" s="399" t="s">
        <v>1822</v>
      </c>
      <c r="E264" s="399" t="s">
        <v>888</v>
      </c>
      <c r="F264" s="399" t="s">
        <v>1237</v>
      </c>
      <c r="G264" s="399" t="s">
        <v>1237</v>
      </c>
      <c r="H264" s="399" t="s">
        <v>1237</v>
      </c>
      <c r="I264" s="399" t="s">
        <v>2322</v>
      </c>
      <c r="J264" s="399" t="s">
        <v>2337</v>
      </c>
      <c r="K264" s="788">
        <v>44682</v>
      </c>
      <c r="L264" s="399">
        <v>0</v>
      </c>
      <c r="M264" s="399">
        <v>0</v>
      </c>
      <c r="N264" s="399">
        <v>27.564</v>
      </c>
      <c r="O264" s="399">
        <v>27.564</v>
      </c>
      <c r="P264" s="399">
        <v>27.564</v>
      </c>
      <c r="Q264" s="399">
        <v>27.564</v>
      </c>
      <c r="R264" s="399"/>
      <c r="S264" s="399">
        <v>509.72</v>
      </c>
      <c r="T264" s="399">
        <v>119.97</v>
      </c>
      <c r="U264" s="399"/>
      <c r="V264" s="399">
        <v>17356.775160000001</v>
      </c>
      <c r="W264" s="399">
        <v>17356.775160000001</v>
      </c>
      <c r="X264" s="399">
        <v>15456.788639999999</v>
      </c>
      <c r="Y264" s="399">
        <v>0</v>
      </c>
      <c r="Z264" s="399">
        <v>1678.5064606913577</v>
      </c>
      <c r="AA264" s="399">
        <v>0</v>
      </c>
      <c r="AB264" s="399">
        <v>0</v>
      </c>
      <c r="AC264" s="399">
        <v>0</v>
      </c>
      <c r="AD264" s="399">
        <v>2015.4611282732255</v>
      </c>
      <c r="AE264" s="399">
        <v>9547.2614037933818</v>
      </c>
      <c r="AF264" s="399">
        <v>3306.9589966967533</v>
      </c>
      <c r="AG264" s="399">
        <v>0</v>
      </c>
      <c r="AH264" s="399">
        <v>0</v>
      </c>
      <c r="AI264" s="399">
        <v>0</v>
      </c>
      <c r="AJ264" s="399">
        <v>0</v>
      </c>
      <c r="AK264" s="399">
        <v>0</v>
      </c>
      <c r="AL264" s="399">
        <v>259.38346695172083</v>
      </c>
      <c r="AM264" s="399"/>
      <c r="AN264" s="399">
        <v>59.298398778265621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489.87880589126956</v>
      </c>
      <c r="BH264" s="399">
        <v>0</v>
      </c>
      <c r="BI264" s="399">
        <v>0</v>
      </c>
      <c r="BJ264" s="399">
        <v>0</v>
      </c>
      <c r="BK264" s="399">
        <v>0</v>
      </c>
      <c r="BL264" s="399">
        <v>0</v>
      </c>
      <c r="BM264" s="399"/>
      <c r="BN264" s="399"/>
      <c r="BO264" s="399"/>
      <c r="BP264" s="399"/>
      <c r="BQ264" s="399"/>
      <c r="BR264" s="399"/>
      <c r="BS264" s="399"/>
      <c r="BT264" s="399"/>
      <c r="BU264" s="399"/>
      <c r="BV264" s="399">
        <v>3796.8378025880229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15454.545599999999</v>
      </c>
      <c r="CJ264" s="399">
        <v>-1902.2595600000004</v>
      </c>
      <c r="CK264" s="399"/>
      <c r="CL264" s="399"/>
      <c r="CM264" s="399"/>
      <c r="CN264" s="399"/>
      <c r="CO264" s="399">
        <v>-1899.9865200000002</v>
      </c>
      <c r="CP264" s="399">
        <v>0</v>
      </c>
      <c r="CQ264" s="399">
        <v>31</v>
      </c>
      <c r="CR264" s="399">
        <v>-203.26165529460104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-10.783079582561413</v>
      </c>
      <c r="DA264" s="399">
        <v>0</v>
      </c>
      <c r="DB264" s="399">
        <v>0</v>
      </c>
      <c r="DC264" s="399">
        <v>0</v>
      </c>
      <c r="DD264" s="399">
        <v>0</v>
      </c>
      <c r="DE264" s="399">
        <v>0</v>
      </c>
      <c r="DF264" s="399">
        <v>0</v>
      </c>
      <c r="DG264" s="399">
        <v>0</v>
      </c>
      <c r="DH264" s="399">
        <v>0</v>
      </c>
      <c r="DI264" s="399">
        <v>-165.47096899949679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-22.104219268295822</v>
      </c>
      <c r="DP264" s="399">
        <v>-4.9033874442466043</v>
      </c>
      <c r="DQ264" s="399">
        <v>0</v>
      </c>
      <c r="DR264" s="399">
        <v>0</v>
      </c>
      <c r="DS264" s="399"/>
      <c r="DT264" s="399"/>
      <c r="DU264" s="399"/>
      <c r="DV264" s="399">
        <v>9547.2614037933818</v>
      </c>
      <c r="DW264" s="399">
        <v>0</v>
      </c>
      <c r="DX264" s="399">
        <v>0</v>
      </c>
      <c r="DY264" s="399">
        <v>-1899.9865200000004</v>
      </c>
      <c r="DZ264" s="399">
        <v>0</v>
      </c>
      <c r="EA264" s="399">
        <v>0</v>
      </c>
      <c r="EB264" s="399">
        <v>0</v>
      </c>
      <c r="EC264" s="399">
        <v>-1696.4907609347656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229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263</v>
      </c>
      <c r="B265" s="399" t="s">
        <v>954</v>
      </c>
      <c r="C265" s="399" t="s">
        <v>2345</v>
      </c>
      <c r="D265" s="399" t="s">
        <v>1822</v>
      </c>
      <c r="E265" s="399" t="s">
        <v>888</v>
      </c>
      <c r="F265" s="399" t="s">
        <v>1237</v>
      </c>
      <c r="G265" s="399" t="s">
        <v>1237</v>
      </c>
      <c r="H265" s="399" t="s">
        <v>1237</v>
      </c>
      <c r="I265" s="399" t="s">
        <v>1237</v>
      </c>
      <c r="J265" s="399" t="s">
        <v>2337</v>
      </c>
      <c r="K265" s="788">
        <v>44682</v>
      </c>
      <c r="L265" s="399">
        <v>0</v>
      </c>
      <c r="M265" s="399">
        <v>0</v>
      </c>
      <c r="N265" s="399">
        <v>0</v>
      </c>
      <c r="O265" s="399">
        <v>0</v>
      </c>
      <c r="P265" s="399">
        <v>0</v>
      </c>
      <c r="Q265" s="399">
        <v>0</v>
      </c>
      <c r="R265" s="399"/>
      <c r="S265" s="399"/>
      <c r="T265" s="399"/>
      <c r="U265" s="399"/>
      <c r="V265" s="399"/>
      <c r="W265" s="399"/>
      <c r="X265" s="399"/>
      <c r="Y265" s="399"/>
      <c r="Z265" s="399"/>
      <c r="AA265" s="399">
        <v>0</v>
      </c>
      <c r="AB265" s="399"/>
      <c r="AC265" s="399"/>
      <c r="AD265" s="399"/>
      <c r="AE265" s="399"/>
      <c r="AF265" s="399"/>
      <c r="AG265" s="399"/>
      <c r="AH265" s="399"/>
      <c r="AI265" s="399"/>
      <c r="AJ265" s="399"/>
      <c r="AK265" s="399"/>
      <c r="AL265" s="399"/>
      <c r="AM265" s="399"/>
      <c r="AN265" s="399"/>
      <c r="AO265" s="399"/>
      <c r="AP265" s="399"/>
      <c r="AQ265" s="399"/>
      <c r="AR265" s="399"/>
      <c r="AS265" s="399"/>
      <c r="AT265" s="399"/>
      <c r="AU265" s="399"/>
      <c r="AV265" s="399"/>
      <c r="AW265" s="399"/>
      <c r="AX265" s="399"/>
      <c r="AY265" s="399"/>
      <c r="AZ265" s="399">
        <v>0</v>
      </c>
      <c r="BA265" s="399"/>
      <c r="BB265" s="399"/>
      <c r="BC265" s="399"/>
      <c r="BD265" s="399"/>
      <c r="BE265" s="399"/>
      <c r="BF265" s="399"/>
      <c r="BG265" s="399"/>
      <c r="BH265" s="399"/>
      <c r="BI265" s="399">
        <v>0</v>
      </c>
      <c r="BJ265" s="399">
        <v>0</v>
      </c>
      <c r="BK265" s="399">
        <v>5256.8</v>
      </c>
      <c r="BL265" s="399">
        <v>7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/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/>
      <c r="CJ265" s="399">
        <v>-0.03</v>
      </c>
      <c r="CK265" s="399"/>
      <c r="CL265" s="399"/>
      <c r="CM265" s="399"/>
      <c r="CN265" s="399"/>
      <c r="CO265" s="399">
        <v>0</v>
      </c>
      <c r="CP265" s="399">
        <v>0</v>
      </c>
      <c r="CQ265" s="399">
        <v>31</v>
      </c>
      <c r="CR265" s="399"/>
      <c r="CS265" s="399"/>
      <c r="CT265" s="399"/>
      <c r="CU265" s="399"/>
      <c r="CV265" s="399"/>
      <c r="CW265" s="399"/>
      <c r="CX265" s="399"/>
      <c r="CY265" s="399"/>
      <c r="CZ265" s="399"/>
      <c r="DA265" s="399"/>
      <c r="DB265" s="399"/>
      <c r="DC265" s="399"/>
      <c r="DD265" s="399"/>
      <c r="DE265" s="399"/>
      <c r="DF265" s="399"/>
      <c r="DG265" s="399"/>
      <c r="DH265" s="399"/>
      <c r="DI265" s="399"/>
      <c r="DJ265" s="399"/>
      <c r="DK265" s="399">
        <v>0</v>
      </c>
      <c r="DL265" s="399"/>
      <c r="DM265" s="399"/>
      <c r="DN265" s="399"/>
      <c r="DO265" s="399"/>
      <c r="DP265" s="399"/>
      <c r="DQ265" s="399"/>
      <c r="DR265" s="399"/>
      <c r="DS265" s="399"/>
      <c r="DT265" s="399"/>
      <c r="DU265" s="399"/>
      <c r="DV265" s="399"/>
      <c r="DW265" s="399"/>
      <c r="DX265" s="399"/>
      <c r="DY265" s="399"/>
      <c r="DZ265" s="399"/>
      <c r="EA265" s="399"/>
      <c r="EB265" s="399"/>
      <c r="EC265" s="399"/>
      <c r="ED265" s="399"/>
      <c r="EE265" s="399"/>
      <c r="EF265" s="399"/>
      <c r="EG265" s="399"/>
      <c r="EH265" s="399"/>
      <c r="EI265" s="399"/>
      <c r="EJ265" s="399"/>
      <c r="EK265" s="399"/>
      <c r="EL265" s="399"/>
      <c r="EM265" s="399"/>
      <c r="EN265" s="399"/>
      <c r="EO265" s="399"/>
      <c r="EP265" s="399"/>
      <c r="EQ265" s="399"/>
      <c r="ER265" s="399"/>
      <c r="ES265" s="399"/>
      <c r="ET265" s="399"/>
      <c r="EU265" s="399"/>
      <c r="EV265" s="399">
        <v>229</v>
      </c>
      <c r="EW265" s="399"/>
      <c r="EX265" s="399"/>
      <c r="EY265" s="399"/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264</v>
      </c>
      <c r="B266" s="399" t="s">
        <v>2339</v>
      </c>
      <c r="C266" s="399" t="s">
        <v>2345</v>
      </c>
      <c r="D266" s="399" t="s">
        <v>1822</v>
      </c>
      <c r="E266" s="399" t="s">
        <v>888</v>
      </c>
      <c r="F266" s="399" t="s">
        <v>1237</v>
      </c>
      <c r="G266" s="399" t="s">
        <v>1237</v>
      </c>
      <c r="H266" s="399" t="s">
        <v>1237</v>
      </c>
      <c r="I266" s="399" t="s">
        <v>1237</v>
      </c>
      <c r="J266" s="399" t="s">
        <v>2337</v>
      </c>
      <c r="K266" s="788">
        <v>44682</v>
      </c>
      <c r="L266" s="399">
        <v>0</v>
      </c>
      <c r="M266" s="399">
        <v>0</v>
      </c>
      <c r="N266" s="399">
        <v>0</v>
      </c>
      <c r="O266" s="399">
        <v>0</v>
      </c>
      <c r="P266" s="399">
        <v>0</v>
      </c>
      <c r="Q266" s="399">
        <v>0</v>
      </c>
      <c r="R266" s="399"/>
      <c r="S266" s="399"/>
      <c r="T266" s="399"/>
      <c r="U266" s="399"/>
      <c r="V266" s="399"/>
      <c r="W266" s="399"/>
      <c r="X266" s="399"/>
      <c r="Y266" s="399"/>
      <c r="Z266" s="399"/>
      <c r="AA266" s="399">
        <v>0</v>
      </c>
      <c r="AB266" s="399"/>
      <c r="AC266" s="399"/>
      <c r="AD266" s="399"/>
      <c r="AE266" s="399"/>
      <c r="AF266" s="399"/>
      <c r="AG266" s="399"/>
      <c r="AH266" s="399"/>
      <c r="AI266" s="399"/>
      <c r="AJ266" s="399"/>
      <c r="AK266" s="399"/>
      <c r="AL266" s="399"/>
      <c r="AM266" s="399"/>
      <c r="AN266" s="399"/>
      <c r="AO266" s="399"/>
      <c r="AP266" s="399"/>
      <c r="AQ266" s="399"/>
      <c r="AR266" s="399"/>
      <c r="AS266" s="399"/>
      <c r="AT266" s="399"/>
      <c r="AU266" s="399"/>
      <c r="AV266" s="399"/>
      <c r="AW266" s="399"/>
      <c r="AX266" s="399"/>
      <c r="AY266" s="399"/>
      <c r="AZ266" s="399">
        <v>0</v>
      </c>
      <c r="BA266" s="399"/>
      <c r="BB266" s="399"/>
      <c r="BC266" s="399"/>
      <c r="BD266" s="399"/>
      <c r="BE266" s="399"/>
      <c r="BF266" s="399"/>
      <c r="BG266" s="399"/>
      <c r="BH266" s="399"/>
      <c r="BI266" s="399">
        <v>0</v>
      </c>
      <c r="BJ266" s="399">
        <v>0</v>
      </c>
      <c r="BK266" s="399">
        <v>1219.8699999999999</v>
      </c>
      <c r="BL266" s="399">
        <v>2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/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/>
      <c r="CJ266" s="399">
        <v>-0.03</v>
      </c>
      <c r="CK266" s="399"/>
      <c r="CL266" s="399"/>
      <c r="CM266" s="399"/>
      <c r="CN266" s="399"/>
      <c r="CO266" s="399">
        <v>0</v>
      </c>
      <c r="CP266" s="399">
        <v>0</v>
      </c>
      <c r="CQ266" s="399">
        <v>31</v>
      </c>
      <c r="CR266" s="399"/>
      <c r="CS266" s="399"/>
      <c r="CT266" s="399"/>
      <c r="CU266" s="399"/>
      <c r="CV266" s="399"/>
      <c r="CW266" s="399"/>
      <c r="CX266" s="399"/>
      <c r="CY266" s="399"/>
      <c r="CZ266" s="399"/>
      <c r="DA266" s="399"/>
      <c r="DB266" s="399"/>
      <c r="DC266" s="399"/>
      <c r="DD266" s="399"/>
      <c r="DE266" s="399"/>
      <c r="DF266" s="399"/>
      <c r="DG266" s="399"/>
      <c r="DH266" s="399"/>
      <c r="DI266" s="399"/>
      <c r="DJ266" s="399"/>
      <c r="DK266" s="399">
        <v>0</v>
      </c>
      <c r="DL266" s="399"/>
      <c r="DM266" s="399"/>
      <c r="DN266" s="399"/>
      <c r="DO266" s="399"/>
      <c r="DP266" s="399"/>
      <c r="DQ266" s="399"/>
      <c r="DR266" s="399"/>
      <c r="DS266" s="399"/>
      <c r="DT266" s="399"/>
      <c r="DU266" s="399"/>
      <c r="DV266" s="399"/>
      <c r="DW266" s="399"/>
      <c r="DX266" s="399"/>
      <c r="DY266" s="399"/>
      <c r="DZ266" s="399"/>
      <c r="EA266" s="399"/>
      <c r="EB266" s="399"/>
      <c r="EC266" s="399"/>
      <c r="ED266" s="399"/>
      <c r="EE266" s="399"/>
      <c r="EF266" s="399"/>
      <c r="EG266" s="399"/>
      <c r="EH266" s="399"/>
      <c r="EI266" s="399"/>
      <c r="EJ266" s="399"/>
      <c r="EK266" s="399"/>
      <c r="EL266" s="399"/>
      <c r="EM266" s="399"/>
      <c r="EN266" s="399"/>
      <c r="EO266" s="399"/>
      <c r="EP266" s="399"/>
      <c r="EQ266" s="399"/>
      <c r="ER266" s="399"/>
      <c r="ES266" s="399"/>
      <c r="ET266" s="399"/>
      <c r="EU266" s="399"/>
      <c r="EV266" s="399">
        <v>229</v>
      </c>
      <c r="EW266" s="399"/>
      <c r="EX266" s="399"/>
      <c r="EY266" s="399"/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265</v>
      </c>
      <c r="B267" s="399" t="s">
        <v>954</v>
      </c>
      <c r="C267" s="399" t="s">
        <v>2345</v>
      </c>
      <c r="D267" s="399" t="s">
        <v>1822</v>
      </c>
      <c r="E267" s="399" t="s">
        <v>888</v>
      </c>
      <c r="F267" s="399" t="s">
        <v>1237</v>
      </c>
      <c r="G267" s="399" t="s">
        <v>1237</v>
      </c>
      <c r="H267" s="399" t="s">
        <v>1237</v>
      </c>
      <c r="I267" s="399" t="s">
        <v>2346</v>
      </c>
      <c r="J267" s="399" t="s">
        <v>2337</v>
      </c>
      <c r="K267" s="788">
        <v>44682</v>
      </c>
      <c r="L267" s="399">
        <v>0</v>
      </c>
      <c r="M267" s="399">
        <v>0</v>
      </c>
      <c r="N267" s="399">
        <v>0.19600000000000001</v>
      </c>
      <c r="O267" s="399">
        <v>0.19600000000000001</v>
      </c>
      <c r="P267" s="399">
        <v>0.19600000000000001</v>
      </c>
      <c r="Q267" s="399">
        <v>0.19600000000000001</v>
      </c>
      <c r="R267" s="399"/>
      <c r="S267" s="399">
        <v>1348.63</v>
      </c>
      <c r="T267" s="399">
        <v>119.97</v>
      </c>
      <c r="U267" s="399"/>
      <c r="V267" s="399">
        <v>287.84560000000005</v>
      </c>
      <c r="W267" s="399">
        <v>287.84560000000005</v>
      </c>
      <c r="X267" s="399">
        <v>250.05679999999998</v>
      </c>
      <c r="Y267" s="399">
        <v>0</v>
      </c>
      <c r="Z267" s="399">
        <v>11.935396397311932</v>
      </c>
      <c r="AA267" s="399">
        <v>0</v>
      </c>
      <c r="AB267" s="399">
        <v>0</v>
      </c>
      <c r="AC267" s="399">
        <v>0</v>
      </c>
      <c r="AD267" s="399">
        <v>42.98218148540974</v>
      </c>
      <c r="AE267" s="399">
        <v>203.66364055040668</v>
      </c>
      <c r="AF267" s="399">
        <v>23.514873144411684</v>
      </c>
      <c r="AG267" s="399">
        <v>0</v>
      </c>
      <c r="AH267" s="399">
        <v>0</v>
      </c>
      <c r="AI267" s="399">
        <v>0</v>
      </c>
      <c r="AJ267" s="399">
        <v>0</v>
      </c>
      <c r="AK267" s="399">
        <v>0</v>
      </c>
      <c r="AL267" s="399">
        <v>1.844404278135876</v>
      </c>
      <c r="AM267" s="399"/>
      <c r="AN267" s="399">
        <v>0.42165455523654266</v>
      </c>
      <c r="AO267" s="399">
        <v>0</v>
      </c>
      <c r="AP267" s="399">
        <v>0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3.483393047260515</v>
      </c>
      <c r="BH267" s="399">
        <v>0</v>
      </c>
      <c r="BI267" s="399">
        <v>0</v>
      </c>
      <c r="BJ267" s="399">
        <v>0</v>
      </c>
      <c r="BK267" s="399">
        <v>0</v>
      </c>
      <c r="BL267" s="399">
        <v>0</v>
      </c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>
        <v>26.998266191672201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255.16</v>
      </c>
      <c r="CJ267" s="399">
        <v>-32.715600000000023</v>
      </c>
      <c r="CK267" s="399"/>
      <c r="CL267" s="399"/>
      <c r="CM267" s="399"/>
      <c r="CN267" s="399"/>
      <c r="CO267" s="399">
        <v>-37.788800000000037</v>
      </c>
      <c r="CP267" s="399">
        <v>0</v>
      </c>
      <c r="CQ267" s="399">
        <v>31</v>
      </c>
      <c r="CR267" s="399">
        <v>-1.5986244560785963</v>
      </c>
      <c r="CS267" s="399">
        <v>0</v>
      </c>
      <c r="CT267" s="399">
        <v>0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-0.22996240269158363</v>
      </c>
      <c r="DA267" s="399">
        <v>0</v>
      </c>
      <c r="DB267" s="399">
        <v>0</v>
      </c>
      <c r="DC267" s="399">
        <v>0</v>
      </c>
      <c r="DD267" s="399">
        <v>0</v>
      </c>
      <c r="DE267" s="399">
        <v>0</v>
      </c>
      <c r="DF267" s="399">
        <v>0</v>
      </c>
      <c r="DG267" s="399">
        <v>0</v>
      </c>
      <c r="DH267" s="399">
        <v>0</v>
      </c>
      <c r="DI267" s="399">
        <v>-1.1766184125635384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-0.15717700539058121</v>
      </c>
      <c r="DP267" s="399">
        <v>-3.4866635432895643E-2</v>
      </c>
      <c r="DQ267" s="399">
        <v>0</v>
      </c>
      <c r="DR267" s="399">
        <v>0</v>
      </c>
      <c r="DS267" s="399"/>
      <c r="DT267" s="399"/>
      <c r="DU267" s="399"/>
      <c r="DV267" s="399">
        <v>203.66364055040668</v>
      </c>
      <c r="DW267" s="399">
        <v>0</v>
      </c>
      <c r="DX267" s="399">
        <v>0</v>
      </c>
      <c r="DY267" s="399">
        <v>-37.788800000000066</v>
      </c>
      <c r="DZ267" s="399">
        <v>0</v>
      </c>
      <c r="EA267" s="399">
        <v>0</v>
      </c>
      <c r="EB267" s="399">
        <v>0</v>
      </c>
      <c r="EC267" s="399">
        <v>-36.189800396040965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0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229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266</v>
      </c>
      <c r="B268" s="399" t="s">
        <v>954</v>
      </c>
      <c r="C268" s="399" t="s">
        <v>2336</v>
      </c>
      <c r="D268" s="399" t="s">
        <v>1822</v>
      </c>
      <c r="E268" s="399" t="s">
        <v>916</v>
      </c>
      <c r="F268" s="399" t="s">
        <v>1237</v>
      </c>
      <c r="G268" s="399" t="s">
        <v>1237</v>
      </c>
      <c r="H268" s="399" t="s">
        <v>1237</v>
      </c>
      <c r="I268" s="399" t="s">
        <v>1237</v>
      </c>
      <c r="J268" s="399" t="s">
        <v>2337</v>
      </c>
      <c r="K268" s="788">
        <v>44682</v>
      </c>
      <c r="L268" s="399">
        <v>0</v>
      </c>
      <c r="M268" s="399">
        <v>0</v>
      </c>
      <c r="N268" s="399">
        <v>83.935000000000002</v>
      </c>
      <c r="O268" s="399">
        <v>83.935000000000002</v>
      </c>
      <c r="P268" s="399">
        <v>83.935000000000002</v>
      </c>
      <c r="Q268" s="399">
        <v>83.935000000000002</v>
      </c>
      <c r="R268" s="399"/>
      <c r="S268" s="399">
        <v>707.13</v>
      </c>
      <c r="T268" s="399">
        <v>119.97</v>
      </c>
      <c r="U268" s="399"/>
      <c r="V268" s="399">
        <v>69422.638500000001</v>
      </c>
      <c r="W268" s="399">
        <v>69422.638500000001</v>
      </c>
      <c r="X268" s="399">
        <v>61191.133049999997</v>
      </c>
      <c r="Y268" s="399">
        <v>0</v>
      </c>
      <c r="Z268" s="399">
        <v>5111.2117173896786</v>
      </c>
      <c r="AA268" s="399">
        <v>0</v>
      </c>
      <c r="AB268" s="399">
        <v>0</v>
      </c>
      <c r="AC268" s="399">
        <v>0</v>
      </c>
      <c r="AD268" s="399">
        <v>9026.3036586740127</v>
      </c>
      <c r="AE268" s="399">
        <v>42753.379096098492</v>
      </c>
      <c r="AF268" s="399">
        <v>10070.004476409156</v>
      </c>
      <c r="AG268" s="399">
        <v>0</v>
      </c>
      <c r="AH268" s="399">
        <v>0</v>
      </c>
      <c r="AI268" s="399">
        <v>0</v>
      </c>
      <c r="AJ268" s="399">
        <v>0</v>
      </c>
      <c r="AK268" s="399">
        <v>0</v>
      </c>
      <c r="AL268" s="399">
        <v>789.84731165987125</v>
      </c>
      <c r="AM268" s="399"/>
      <c r="AN268" s="399">
        <v>180.56926068254697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1491.7275276623027</v>
      </c>
      <c r="BH268" s="399">
        <v>0</v>
      </c>
      <c r="BI268" s="399">
        <v>0</v>
      </c>
      <c r="BJ268" s="399">
        <v>0</v>
      </c>
      <c r="BK268" s="399">
        <v>18953.48</v>
      </c>
      <c r="BL268" s="399">
        <v>262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>
        <v>11561.732004071459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61194.778199999993</v>
      </c>
      <c r="CJ268" s="399">
        <v>-8227.8903000000064</v>
      </c>
      <c r="CK268" s="399"/>
      <c r="CL268" s="399"/>
      <c r="CM268" s="399"/>
      <c r="CN268" s="399"/>
      <c r="CO268" s="399">
        <v>-8231.5054500000042</v>
      </c>
      <c r="CP268" s="399">
        <v>0</v>
      </c>
      <c r="CQ268" s="399">
        <v>31</v>
      </c>
      <c r="CR268" s="399">
        <v>-634.40790667212059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-48.292348248451162</v>
      </c>
      <c r="DA268" s="399">
        <v>0</v>
      </c>
      <c r="DB268" s="399">
        <v>0</v>
      </c>
      <c r="DC268" s="399">
        <v>0</v>
      </c>
      <c r="DD268" s="399">
        <v>0</v>
      </c>
      <c r="DE268" s="399">
        <v>0</v>
      </c>
      <c r="DF268" s="399">
        <v>0</v>
      </c>
      <c r="DG268" s="399">
        <v>0</v>
      </c>
      <c r="DH268" s="399">
        <v>0</v>
      </c>
      <c r="DI268" s="399">
        <v>-503.8748288700026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-67.309448711522691</v>
      </c>
      <c r="DP268" s="399">
        <v>-14.931280842143337</v>
      </c>
      <c r="DQ268" s="399">
        <v>0</v>
      </c>
      <c r="DR268" s="399">
        <v>0</v>
      </c>
      <c r="DS268" s="399"/>
      <c r="DT268" s="399"/>
      <c r="DU268" s="399"/>
      <c r="DV268" s="399">
        <v>42753.379096098492</v>
      </c>
      <c r="DW268" s="399">
        <v>0</v>
      </c>
      <c r="DX268" s="399">
        <v>0</v>
      </c>
      <c r="DY268" s="399">
        <v>-8231.5054500000042</v>
      </c>
      <c r="DZ268" s="399">
        <v>0</v>
      </c>
      <c r="EA268" s="399">
        <v>0</v>
      </c>
      <c r="EB268" s="399">
        <v>0</v>
      </c>
      <c r="EC268" s="399">
        <v>-7597.0175705521469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229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267</v>
      </c>
      <c r="B269" s="399" t="s">
        <v>2339</v>
      </c>
      <c r="C269" s="399" t="s">
        <v>2336</v>
      </c>
      <c r="D269" s="399" t="s">
        <v>1822</v>
      </c>
      <c r="E269" s="399" t="s">
        <v>916</v>
      </c>
      <c r="F269" s="399" t="s">
        <v>1237</v>
      </c>
      <c r="G269" s="399" t="s">
        <v>1237</v>
      </c>
      <c r="H269" s="399" t="s">
        <v>1237</v>
      </c>
      <c r="I269" s="399" t="s">
        <v>1237</v>
      </c>
      <c r="J269" s="399" t="s">
        <v>2337</v>
      </c>
      <c r="K269" s="788">
        <v>44682</v>
      </c>
      <c r="L269" s="399">
        <v>0</v>
      </c>
      <c r="M269" s="399">
        <v>0</v>
      </c>
      <c r="N269" s="399">
        <v>10.384</v>
      </c>
      <c r="O269" s="399">
        <v>10.384</v>
      </c>
      <c r="P269" s="399">
        <v>10.384</v>
      </c>
      <c r="Q269" s="399">
        <v>10.384</v>
      </c>
      <c r="R269" s="399"/>
      <c r="S269" s="399">
        <v>707.13</v>
      </c>
      <c r="T269" s="399">
        <v>119.97</v>
      </c>
      <c r="U269" s="399"/>
      <c r="V269" s="399">
        <v>8588.6064000000006</v>
      </c>
      <c r="W269" s="399">
        <v>8588.6064000000006</v>
      </c>
      <c r="X269" s="399">
        <v>7570.247519999999</v>
      </c>
      <c r="Y269" s="399">
        <v>0</v>
      </c>
      <c r="Z269" s="399">
        <v>632.3324295392199</v>
      </c>
      <c r="AA269" s="399">
        <v>0</v>
      </c>
      <c r="AB269" s="399">
        <v>0</v>
      </c>
      <c r="AC269" s="399">
        <v>0</v>
      </c>
      <c r="AD269" s="399">
        <v>1116.6871649689754</v>
      </c>
      <c r="AE269" s="399">
        <v>5289.2248589252004</v>
      </c>
      <c r="AF269" s="399">
        <v>1245.8083812835253</v>
      </c>
      <c r="AG269" s="399">
        <v>0</v>
      </c>
      <c r="AH269" s="399">
        <v>0</v>
      </c>
      <c r="AI269" s="399">
        <v>0</v>
      </c>
      <c r="AJ269" s="399">
        <v>0</v>
      </c>
      <c r="AK269" s="399">
        <v>0</v>
      </c>
      <c r="AL269" s="399">
        <v>97.715785837566003</v>
      </c>
      <c r="AM269" s="399"/>
      <c r="AN269" s="399">
        <v>22.339086232531933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>
        <v>0</v>
      </c>
      <c r="BG269" s="399">
        <v>184.54874185078157</v>
      </c>
      <c r="BH269" s="399">
        <v>0</v>
      </c>
      <c r="BI269" s="399">
        <v>0</v>
      </c>
      <c r="BJ269" s="399">
        <v>0</v>
      </c>
      <c r="BK269" s="399">
        <v>4768.08</v>
      </c>
      <c r="BL269" s="399">
        <v>8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1430.3571231343069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7567.3314</v>
      </c>
      <c r="CJ269" s="399">
        <v>-1021.3050000000012</v>
      </c>
      <c r="CK269" s="399"/>
      <c r="CL269" s="399"/>
      <c r="CM269" s="399"/>
      <c r="CN269" s="399"/>
      <c r="CO269" s="399">
        <v>-1018.3588800000006</v>
      </c>
      <c r="CP269" s="399">
        <v>0</v>
      </c>
      <c r="CQ269" s="399">
        <v>31</v>
      </c>
      <c r="CR269" s="399">
        <v>-78.485634155992557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-5.9744772051221844</v>
      </c>
      <c r="DA269" s="399">
        <v>0</v>
      </c>
      <c r="DB269" s="399">
        <v>0</v>
      </c>
      <c r="DC269" s="399">
        <v>0</v>
      </c>
      <c r="DD269" s="399">
        <v>0</v>
      </c>
      <c r="DE269" s="399">
        <v>0</v>
      </c>
      <c r="DF269" s="399">
        <v>0</v>
      </c>
      <c r="DG269" s="399">
        <v>0</v>
      </c>
      <c r="DH269" s="399">
        <v>0</v>
      </c>
      <c r="DI269" s="399">
        <v>-62.336763245202974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-8.3271735917132474</v>
      </c>
      <c r="DP269" s="399">
        <v>-1.8472201139550393</v>
      </c>
      <c r="DQ269" s="399">
        <v>0</v>
      </c>
      <c r="DR269" s="399">
        <v>0</v>
      </c>
      <c r="DS269" s="399"/>
      <c r="DT269" s="399"/>
      <c r="DU269" s="399"/>
      <c r="DV269" s="399">
        <v>5289.2248589252004</v>
      </c>
      <c r="DW269" s="399">
        <v>0</v>
      </c>
      <c r="DX269" s="399">
        <v>0</v>
      </c>
      <c r="DY269" s="399">
        <v>-1018.3588800000007</v>
      </c>
      <c r="DZ269" s="399">
        <v>0</v>
      </c>
      <c r="EA269" s="399">
        <v>0</v>
      </c>
      <c r="EB269" s="399">
        <v>0</v>
      </c>
      <c r="EC269" s="399">
        <v>-939.86335202970713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0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229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268</v>
      </c>
      <c r="B270" s="399" t="s">
        <v>954</v>
      </c>
      <c r="C270" s="399" t="s">
        <v>2336</v>
      </c>
      <c r="D270" s="399" t="s">
        <v>2347</v>
      </c>
      <c r="E270" s="399" t="s">
        <v>892</v>
      </c>
      <c r="F270" s="399" t="s">
        <v>1237</v>
      </c>
      <c r="G270" s="399" t="s">
        <v>1237</v>
      </c>
      <c r="H270" s="399" t="s">
        <v>1237</v>
      </c>
      <c r="I270" s="399" t="s">
        <v>1237</v>
      </c>
      <c r="J270" s="399" t="s">
        <v>2337</v>
      </c>
      <c r="K270" s="788">
        <v>44682</v>
      </c>
      <c r="L270" s="399">
        <v>0</v>
      </c>
      <c r="M270" s="399">
        <v>0</v>
      </c>
      <c r="N270" s="399">
        <v>220.846</v>
      </c>
      <c r="O270" s="399">
        <v>220.846</v>
      </c>
      <c r="P270" s="399">
        <v>220.846</v>
      </c>
      <c r="Q270" s="399">
        <v>220.846</v>
      </c>
      <c r="R270" s="399"/>
      <c r="S270" s="399">
        <v>707.13</v>
      </c>
      <c r="T270" s="399">
        <v>119.97</v>
      </c>
      <c r="U270" s="399"/>
      <c r="V270" s="399">
        <v>182661.72659999999</v>
      </c>
      <c r="W270" s="399">
        <v>182661.72659999999</v>
      </c>
      <c r="X270" s="399">
        <v>161003.35938000001</v>
      </c>
      <c r="Y270" s="399">
        <v>0</v>
      </c>
      <c r="Z270" s="399">
        <v>13448.390575309953</v>
      </c>
      <c r="AA270" s="399">
        <v>0</v>
      </c>
      <c r="AB270" s="399">
        <v>0</v>
      </c>
      <c r="AC270" s="399">
        <v>0</v>
      </c>
      <c r="AD270" s="399">
        <v>23749.604548799914</v>
      </c>
      <c r="AE270" s="399">
        <v>112490.76976061198</v>
      </c>
      <c r="AF270" s="399">
        <v>26495.743236993585</v>
      </c>
      <c r="AG270" s="399">
        <v>0</v>
      </c>
      <c r="AH270" s="399">
        <v>0</v>
      </c>
      <c r="AI270" s="399">
        <v>0</v>
      </c>
      <c r="AJ270" s="399">
        <v>0</v>
      </c>
      <c r="AK270" s="399">
        <v>0</v>
      </c>
      <c r="AL270" s="399">
        <v>2078.210751067325</v>
      </c>
      <c r="AM270" s="399"/>
      <c r="AN270" s="399">
        <v>475.10572400902805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3924.9664332413049</v>
      </c>
      <c r="BH270" s="399">
        <v>0</v>
      </c>
      <c r="BI270" s="399">
        <v>0</v>
      </c>
      <c r="BJ270" s="399">
        <v>0</v>
      </c>
      <c r="BK270" s="399">
        <v>27892.04</v>
      </c>
      <c r="BL270" s="399">
        <v>700</v>
      </c>
      <c r="BM270" s="399"/>
      <c r="BN270" s="399"/>
      <c r="BO270" s="399"/>
      <c r="BP270" s="399"/>
      <c r="BQ270" s="399"/>
      <c r="BR270" s="399">
        <v>19319.608079999984</v>
      </c>
      <c r="BS270" s="399"/>
      <c r="BT270" s="399"/>
      <c r="BU270" s="399"/>
      <c r="BV270" s="399">
        <v>30420.70967023489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141686.3175</v>
      </c>
      <c r="CJ270" s="399">
        <v>-19058.682060000021</v>
      </c>
      <c r="CK270" s="399"/>
      <c r="CL270" s="399"/>
      <c r="CM270" s="399"/>
      <c r="CN270" s="399"/>
      <c r="CO270" s="399">
        <v>-21658.367220000011</v>
      </c>
      <c r="CP270" s="399">
        <v>0</v>
      </c>
      <c r="CQ270" s="399">
        <v>31</v>
      </c>
      <c r="CR270" s="399">
        <v>-1669.2255740383698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-127.06465647557707</v>
      </c>
      <c r="DA270" s="399">
        <v>0</v>
      </c>
      <c r="DB270" s="399">
        <v>0</v>
      </c>
      <c r="DC270" s="399">
        <v>0</v>
      </c>
      <c r="DD270" s="399">
        <v>0</v>
      </c>
      <c r="DE270" s="399">
        <v>0</v>
      </c>
      <c r="DF270" s="399">
        <v>0</v>
      </c>
      <c r="DG270" s="399">
        <v>0</v>
      </c>
      <c r="DH270" s="399">
        <v>0</v>
      </c>
      <c r="DI270" s="399">
        <v>-1325.7728058214652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-177.10159659432816</v>
      </c>
      <c r="DP270" s="399">
        <v>-39.286515147006469</v>
      </c>
      <c r="DQ270" s="399">
        <v>0</v>
      </c>
      <c r="DR270" s="399">
        <v>0</v>
      </c>
      <c r="DS270" s="399"/>
      <c r="DT270" s="399"/>
      <c r="DU270" s="399"/>
      <c r="DV270" s="399">
        <v>112490.76976061198</v>
      </c>
      <c r="DW270" s="399">
        <v>0</v>
      </c>
      <c r="DX270" s="399">
        <v>0</v>
      </c>
      <c r="DY270" s="399">
        <v>-21658.367219999986</v>
      </c>
      <c r="DZ270" s="399">
        <v>0</v>
      </c>
      <c r="EA270" s="399">
        <v>0</v>
      </c>
      <c r="EB270" s="399">
        <v>0</v>
      </c>
      <c r="EC270" s="399">
        <v>-19988.931225188047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0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229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269</v>
      </c>
      <c r="B271" s="399" t="s">
        <v>2339</v>
      </c>
      <c r="C271" s="399" t="s">
        <v>2336</v>
      </c>
      <c r="D271" s="399" t="s">
        <v>2347</v>
      </c>
      <c r="E271" s="399" t="s">
        <v>892</v>
      </c>
      <c r="F271" s="399" t="s">
        <v>1237</v>
      </c>
      <c r="G271" s="399" t="s">
        <v>1237</v>
      </c>
      <c r="H271" s="399" t="s">
        <v>1237</v>
      </c>
      <c r="I271" s="399" t="s">
        <v>1237</v>
      </c>
      <c r="J271" s="399" t="s">
        <v>2337</v>
      </c>
      <c r="K271" s="788">
        <v>44682</v>
      </c>
      <c r="L271" s="399">
        <v>0</v>
      </c>
      <c r="M271" s="399">
        <v>0</v>
      </c>
      <c r="N271" s="399">
        <v>18.504999999999999</v>
      </c>
      <c r="O271" s="399">
        <v>18.504999999999999</v>
      </c>
      <c r="P271" s="399">
        <v>18.504999999999999</v>
      </c>
      <c r="Q271" s="399">
        <v>18.504999999999999</v>
      </c>
      <c r="R271" s="399"/>
      <c r="S271" s="399">
        <v>707.13</v>
      </c>
      <c r="T271" s="399">
        <v>119.97</v>
      </c>
      <c r="U271" s="399"/>
      <c r="V271" s="399">
        <v>15305.485499999999</v>
      </c>
      <c r="W271" s="399">
        <v>15305.485499999999</v>
      </c>
      <c r="X271" s="399">
        <v>13490.700149999999</v>
      </c>
      <c r="Y271" s="399">
        <v>0</v>
      </c>
      <c r="Z271" s="399">
        <v>1126.8597465931493</v>
      </c>
      <c r="AA271" s="399">
        <v>0</v>
      </c>
      <c r="AB271" s="399">
        <v>0</v>
      </c>
      <c r="AC271" s="399">
        <v>0</v>
      </c>
      <c r="AD271" s="399">
        <v>1990.013095892805</v>
      </c>
      <c r="AE271" s="399">
        <v>9425.7613650241547</v>
      </c>
      <c r="AF271" s="399">
        <v>2220.1159568231542</v>
      </c>
      <c r="AG271" s="399">
        <v>0</v>
      </c>
      <c r="AH271" s="399">
        <v>0</v>
      </c>
      <c r="AI271" s="399">
        <v>0</v>
      </c>
      <c r="AJ271" s="399">
        <v>0</v>
      </c>
      <c r="AK271" s="399">
        <v>0</v>
      </c>
      <c r="AL271" s="399">
        <v>174.13623044338971</v>
      </c>
      <c r="AM271" s="399"/>
      <c r="AN271" s="399">
        <v>39.80978339108276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328.87851193650931</v>
      </c>
      <c r="BH271" s="399">
        <v>0</v>
      </c>
      <c r="BI271" s="399">
        <v>0</v>
      </c>
      <c r="BJ271" s="399">
        <v>0</v>
      </c>
      <c r="BK271" s="399">
        <v>7169.77</v>
      </c>
      <c r="BL271" s="399">
        <v>17</v>
      </c>
      <c r="BM271" s="399"/>
      <c r="BN271" s="399"/>
      <c r="BO271" s="399"/>
      <c r="BP271" s="399"/>
      <c r="BQ271" s="399"/>
      <c r="BR271" s="399">
        <v>1618.8173999999983</v>
      </c>
      <c r="BS271" s="399"/>
      <c r="BT271" s="399"/>
      <c r="BU271" s="399"/>
      <c r="BV271" s="399">
        <v>2548.9944687596635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11875.0905</v>
      </c>
      <c r="CJ271" s="399">
        <v>-1593.9887999999992</v>
      </c>
      <c r="CK271" s="399"/>
      <c r="CL271" s="399"/>
      <c r="CM271" s="399"/>
      <c r="CN271" s="399"/>
      <c r="CO271" s="399">
        <v>-1814.7853500000008</v>
      </c>
      <c r="CP271" s="399">
        <v>0</v>
      </c>
      <c r="CQ271" s="399">
        <v>31</v>
      </c>
      <c r="CR271" s="399">
        <v>-139.86678159251278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-10.646928031662583</v>
      </c>
      <c r="DA271" s="399">
        <v>0</v>
      </c>
      <c r="DB271" s="399">
        <v>0</v>
      </c>
      <c r="DC271" s="399">
        <v>0</v>
      </c>
      <c r="DD271" s="399">
        <v>0</v>
      </c>
      <c r="DE271" s="399">
        <v>0</v>
      </c>
      <c r="DF271" s="399">
        <v>0</v>
      </c>
      <c r="DG271" s="399">
        <v>0</v>
      </c>
      <c r="DH271" s="399">
        <v>0</v>
      </c>
      <c r="DI271" s="399">
        <v>-111.08838634942992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-14.839594309962791</v>
      </c>
      <c r="DP271" s="399">
        <v>-3.2918729014578219</v>
      </c>
      <c r="DQ271" s="399">
        <v>0</v>
      </c>
      <c r="DR271" s="399">
        <v>0</v>
      </c>
      <c r="DS271" s="399"/>
      <c r="DT271" s="399"/>
      <c r="DU271" s="399"/>
      <c r="DV271" s="399">
        <v>9425.7613650241547</v>
      </c>
      <c r="DW271" s="399">
        <v>0</v>
      </c>
      <c r="DX271" s="399">
        <v>0</v>
      </c>
      <c r="DY271" s="399">
        <v>-1814.7853500000001</v>
      </c>
      <c r="DZ271" s="399">
        <v>0</v>
      </c>
      <c r="EA271" s="399">
        <v>0</v>
      </c>
      <c r="EB271" s="399">
        <v>0</v>
      </c>
      <c r="EC271" s="399">
        <v>-1674.9009369520154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0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229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270</v>
      </c>
      <c r="B272" s="399" t="s">
        <v>2339</v>
      </c>
      <c r="C272" s="399" t="s">
        <v>2336</v>
      </c>
      <c r="D272" s="399" t="s">
        <v>2347</v>
      </c>
      <c r="E272" s="399" t="s">
        <v>892</v>
      </c>
      <c r="F272" s="399" t="s">
        <v>1237</v>
      </c>
      <c r="G272" s="399" t="s">
        <v>1237</v>
      </c>
      <c r="H272" s="399" t="s">
        <v>1237</v>
      </c>
      <c r="I272" s="399" t="s">
        <v>1237</v>
      </c>
      <c r="J272" s="399" t="s">
        <v>2337</v>
      </c>
      <c r="K272" s="788">
        <v>44682</v>
      </c>
      <c r="L272" s="399">
        <v>0</v>
      </c>
      <c r="M272" s="399">
        <v>0</v>
      </c>
      <c r="N272" s="399">
        <v>-5.4939999999999998</v>
      </c>
      <c r="O272" s="399">
        <v>-5.4939999999999998</v>
      </c>
      <c r="P272" s="399">
        <v>-5.4939999999999998</v>
      </c>
      <c r="Q272" s="399">
        <v>-5.4939999999999998</v>
      </c>
      <c r="R272" s="399"/>
      <c r="S272" s="399">
        <v>707.13</v>
      </c>
      <c r="T272" s="399">
        <v>119.97</v>
      </c>
      <c r="U272" s="399"/>
      <c r="V272" s="399">
        <v>-4544.0873999999994</v>
      </c>
      <c r="W272" s="399">
        <v>-4544.0873999999994</v>
      </c>
      <c r="X272" s="399">
        <v>-4005.2908199999993</v>
      </c>
      <c r="Y272" s="399">
        <v>0</v>
      </c>
      <c r="Z272" s="399">
        <v>-334.55646840220282</v>
      </c>
      <c r="AA272" s="399">
        <v>0</v>
      </c>
      <c r="AB272" s="399">
        <v>0</v>
      </c>
      <c r="AC272" s="399">
        <v>0</v>
      </c>
      <c r="AD272" s="399">
        <v>-590.82042414672094</v>
      </c>
      <c r="AE272" s="399">
        <v>-2798.4400399590763</v>
      </c>
      <c r="AF272" s="399">
        <v>-659.13629109896829</v>
      </c>
      <c r="AG272" s="399">
        <v>0</v>
      </c>
      <c r="AH272" s="399">
        <v>0</v>
      </c>
      <c r="AI272" s="399">
        <v>0</v>
      </c>
      <c r="AJ272" s="399">
        <v>0</v>
      </c>
      <c r="AK272" s="399">
        <v>0</v>
      </c>
      <c r="AL272" s="399">
        <v>-51.699781143257667</v>
      </c>
      <c r="AM272" s="399"/>
      <c r="AN272" s="399">
        <v>-11.819235339130435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-97.64163980433301</v>
      </c>
      <c r="BH272" s="399">
        <v>0</v>
      </c>
      <c r="BI272" s="399">
        <v>0</v>
      </c>
      <c r="BJ272" s="399">
        <v>0</v>
      </c>
      <c r="BK272" s="399">
        <v>-1174.9000000000001</v>
      </c>
      <c r="BL272" s="399">
        <v>2</v>
      </c>
      <c r="BM272" s="399"/>
      <c r="BN272" s="399"/>
      <c r="BO272" s="399"/>
      <c r="BP272" s="399"/>
      <c r="BQ272" s="399"/>
      <c r="BR272" s="399">
        <v>-480.61511999999959</v>
      </c>
      <c r="BS272" s="399"/>
      <c r="BT272" s="399"/>
      <c r="BU272" s="399"/>
      <c r="BV272" s="399">
        <v>-756.77793090330124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-3522.1095</v>
      </c>
      <c r="CJ272" s="399">
        <v>476.7233399999991</v>
      </c>
      <c r="CK272" s="399"/>
      <c r="CL272" s="399"/>
      <c r="CM272" s="399"/>
      <c r="CN272" s="399"/>
      <c r="CO272" s="399">
        <v>538.79658000000029</v>
      </c>
      <c r="CP272" s="399">
        <v>0</v>
      </c>
      <c r="CQ272" s="399">
        <v>31</v>
      </c>
      <c r="CR272" s="399">
        <v>41.525430860268671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3.1609955474712024</v>
      </c>
      <c r="DA272" s="399">
        <v>0</v>
      </c>
      <c r="DB272" s="399">
        <v>0</v>
      </c>
      <c r="DC272" s="399">
        <v>0</v>
      </c>
      <c r="DD272" s="399">
        <v>0</v>
      </c>
      <c r="DE272" s="399">
        <v>0</v>
      </c>
      <c r="DF272" s="399">
        <v>0</v>
      </c>
      <c r="DG272" s="399">
        <v>0</v>
      </c>
      <c r="DH272" s="399">
        <v>0</v>
      </c>
      <c r="DI272" s="399">
        <v>32.981334482775935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4.4057676919176174</v>
      </c>
      <c r="DP272" s="399">
        <v>0.97733313810371669</v>
      </c>
      <c r="DQ272" s="399">
        <v>0</v>
      </c>
      <c r="DR272" s="399">
        <v>0</v>
      </c>
      <c r="DS272" s="399"/>
      <c r="DT272" s="399"/>
      <c r="DU272" s="399"/>
      <c r="DV272" s="399">
        <v>-2798.4400399590763</v>
      </c>
      <c r="DW272" s="399">
        <v>0</v>
      </c>
      <c r="DX272" s="399">
        <v>0</v>
      </c>
      <c r="DY272" s="399">
        <v>538.79658000000018</v>
      </c>
      <c r="DZ272" s="399">
        <v>0</v>
      </c>
      <c r="EA272" s="399">
        <v>0</v>
      </c>
      <c r="EB272" s="399">
        <v>0</v>
      </c>
      <c r="EC272" s="399">
        <v>497.26591448875297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0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229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271</v>
      </c>
      <c r="B273" s="399" t="s">
        <v>954</v>
      </c>
      <c r="C273" s="399" t="s">
        <v>2336</v>
      </c>
      <c r="D273" s="399" t="s">
        <v>1822</v>
      </c>
      <c r="E273" s="399" t="s">
        <v>2348</v>
      </c>
      <c r="F273" s="399" t="s">
        <v>1237</v>
      </c>
      <c r="G273" s="399" t="s">
        <v>1237</v>
      </c>
      <c r="H273" s="399" t="s">
        <v>1237</v>
      </c>
      <c r="I273" s="399" t="s">
        <v>1237</v>
      </c>
      <c r="J273" s="399" t="s">
        <v>2337</v>
      </c>
      <c r="K273" s="788">
        <v>44682</v>
      </c>
      <c r="L273" s="399">
        <v>0</v>
      </c>
      <c r="M273" s="399">
        <v>0</v>
      </c>
      <c r="N273" s="399">
        <v>25.332999999999998</v>
      </c>
      <c r="O273" s="399">
        <v>25.332999999999998</v>
      </c>
      <c r="P273" s="399">
        <v>25.332999999999998</v>
      </c>
      <c r="Q273" s="399">
        <v>25.332999999999998</v>
      </c>
      <c r="R273" s="399"/>
      <c r="S273" s="399">
        <v>707.13</v>
      </c>
      <c r="T273" s="399">
        <v>119.97</v>
      </c>
      <c r="U273" s="399"/>
      <c r="V273" s="399">
        <v>20952.924299999999</v>
      </c>
      <c r="W273" s="399">
        <v>20952.924299999999</v>
      </c>
      <c r="X273" s="399">
        <v>18468.516989999996</v>
      </c>
      <c r="Y273" s="399">
        <v>0</v>
      </c>
      <c r="Z273" s="399">
        <v>1542.6499843525671</v>
      </c>
      <c r="AA273" s="399">
        <v>0</v>
      </c>
      <c r="AB273" s="399">
        <v>0</v>
      </c>
      <c r="AC273" s="399">
        <v>0</v>
      </c>
      <c r="AD273" s="399">
        <v>2724.2908272495233</v>
      </c>
      <c r="AE273" s="399">
        <v>12903.691578500779</v>
      </c>
      <c r="AF273" s="399">
        <v>3039.2973539152099</v>
      </c>
      <c r="AG273" s="399">
        <v>0</v>
      </c>
      <c r="AH273" s="399">
        <v>0</v>
      </c>
      <c r="AI273" s="399">
        <v>0</v>
      </c>
      <c r="AJ273" s="399">
        <v>0</v>
      </c>
      <c r="AK273" s="399">
        <v>0</v>
      </c>
      <c r="AL273" s="399">
        <v>238.38925294906196</v>
      </c>
      <c r="AM273" s="399"/>
      <c r="AN273" s="399">
        <v>54.498851264323136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450.22855135842156</v>
      </c>
      <c r="BH273" s="399">
        <v>0</v>
      </c>
      <c r="BI273" s="399">
        <v>0</v>
      </c>
      <c r="BJ273" s="399">
        <v>0</v>
      </c>
      <c r="BK273" s="399">
        <v>5751.57</v>
      </c>
      <c r="BL273" s="399">
        <v>83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>
        <v>3489.5259052736315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18466.329899999997</v>
      </c>
      <c r="CJ273" s="399">
        <v>-2486.624399999997</v>
      </c>
      <c r="CK273" s="399"/>
      <c r="CL273" s="399"/>
      <c r="CM273" s="399"/>
      <c r="CN273" s="399"/>
      <c r="CO273" s="399">
        <v>-2484.407310000001</v>
      </c>
      <c r="CP273" s="399">
        <v>0</v>
      </c>
      <c r="CQ273" s="399">
        <v>31</v>
      </c>
      <c r="CR273" s="399">
        <v>-191.47501637844562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-14.575445978173775</v>
      </c>
      <c r="DA273" s="399">
        <v>0</v>
      </c>
      <c r="DB273" s="399">
        <v>0</v>
      </c>
      <c r="DC273" s="399">
        <v>0</v>
      </c>
      <c r="DD273" s="399">
        <v>0</v>
      </c>
      <c r="DE273" s="399">
        <v>0</v>
      </c>
      <c r="DF273" s="399">
        <v>0</v>
      </c>
      <c r="DG273" s="399">
        <v>0</v>
      </c>
      <c r="DH273" s="399">
        <v>0</v>
      </c>
      <c r="DI273" s="399">
        <v>-152.07792982383739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-20.315127946732616</v>
      </c>
      <c r="DP273" s="399">
        <v>-4.5065126297017599</v>
      </c>
      <c r="DQ273" s="399">
        <v>0</v>
      </c>
      <c r="DR273" s="399">
        <v>0</v>
      </c>
      <c r="DS273" s="399"/>
      <c r="DT273" s="399"/>
      <c r="DU273" s="399"/>
      <c r="DV273" s="399">
        <v>12903.691578500779</v>
      </c>
      <c r="DW273" s="399">
        <v>0</v>
      </c>
      <c r="DX273" s="399">
        <v>0</v>
      </c>
      <c r="DY273" s="399">
        <v>-2484.4073100000005</v>
      </c>
      <c r="DZ273" s="399">
        <v>0</v>
      </c>
      <c r="EA273" s="399">
        <v>0</v>
      </c>
      <c r="EB273" s="399">
        <v>0</v>
      </c>
      <c r="EC273" s="399">
        <v>-2292.908156487727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0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229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272</v>
      </c>
      <c r="B274" s="399" t="s">
        <v>954</v>
      </c>
      <c r="C274" s="399" t="s">
        <v>2336</v>
      </c>
      <c r="D274" s="399" t="s">
        <v>2349</v>
      </c>
      <c r="E274" s="399" t="s">
        <v>2350</v>
      </c>
      <c r="F274" s="399" t="s">
        <v>2351</v>
      </c>
      <c r="G274" s="399" t="s">
        <v>1237</v>
      </c>
      <c r="H274" s="399" t="s">
        <v>1237</v>
      </c>
      <c r="I274" s="399" t="s">
        <v>1237</v>
      </c>
      <c r="J274" s="399" t="s">
        <v>2337</v>
      </c>
      <c r="K274" s="788">
        <v>44682</v>
      </c>
      <c r="L274" s="399">
        <v>0</v>
      </c>
      <c r="M274" s="399">
        <v>0</v>
      </c>
      <c r="N274" s="399">
        <v>84.697999999999993</v>
      </c>
      <c r="O274" s="399">
        <v>84.697999999999993</v>
      </c>
      <c r="P274" s="399">
        <v>84.697999999999993</v>
      </c>
      <c r="Q274" s="399">
        <v>84.697999999999993</v>
      </c>
      <c r="R274" s="399"/>
      <c r="S274" s="399">
        <v>388.92</v>
      </c>
      <c r="T274" s="399">
        <v>65.989999999999995</v>
      </c>
      <c r="U274" s="399"/>
      <c r="V274" s="399">
        <v>38529.967179999992</v>
      </c>
      <c r="W274" s="399">
        <v>38529.967179999992</v>
      </c>
      <c r="X274" s="399">
        <v>33961.357059999995</v>
      </c>
      <c r="Y274" s="399">
        <v>0</v>
      </c>
      <c r="Z274" s="399">
        <v>2836.7209807792856</v>
      </c>
      <c r="AA274" s="399">
        <v>0</v>
      </c>
      <c r="AB274" s="399">
        <v>0</v>
      </c>
      <c r="AC274" s="399">
        <v>0</v>
      </c>
      <c r="AD274" s="399">
        <v>5009.5958420838015</v>
      </c>
      <c r="AE274" s="399">
        <v>23728.112664260949</v>
      </c>
      <c r="AF274" s="399">
        <v>5588.8494850610123</v>
      </c>
      <c r="AG274" s="399">
        <v>0</v>
      </c>
      <c r="AH274" s="399">
        <v>0</v>
      </c>
      <c r="AI274" s="399">
        <v>0</v>
      </c>
      <c r="AJ274" s="399">
        <v>0</v>
      </c>
      <c r="AK274" s="399">
        <v>0</v>
      </c>
      <c r="AL274" s="399">
        <v>438.36502271558072</v>
      </c>
      <c r="AM274" s="399"/>
      <c r="AN274" s="399">
        <v>100.21588589634499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827.90833354223957</v>
      </c>
      <c r="BH274" s="399">
        <v>0</v>
      </c>
      <c r="BI274" s="399">
        <v>0</v>
      </c>
      <c r="BJ274" s="399">
        <v>0</v>
      </c>
      <c r="BK274" s="399">
        <v>11320.44</v>
      </c>
      <c r="BL274" s="399">
        <v>2</v>
      </c>
      <c r="BM274" s="399"/>
      <c r="BN274" s="399"/>
      <c r="BO274" s="399"/>
      <c r="BP274" s="399"/>
      <c r="BQ274" s="399"/>
      <c r="BR274" s="399"/>
      <c r="BS274" s="399"/>
      <c r="BT274" s="399"/>
      <c r="BU274" s="399"/>
      <c r="BV274" s="399">
        <v>6416.7578186032515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33962.159000000007</v>
      </c>
      <c r="CJ274" s="399">
        <v>-4567.8381799999916</v>
      </c>
      <c r="CK274" s="399"/>
      <c r="CL274" s="399"/>
      <c r="CM274" s="399"/>
      <c r="CN274" s="399"/>
      <c r="CO274" s="399">
        <v>-4568.6101199999994</v>
      </c>
      <c r="CP274" s="399">
        <v>0</v>
      </c>
      <c r="CQ274" s="399">
        <v>31</v>
      </c>
      <c r="CR274" s="399">
        <v>-352.09619924494655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-26.802238894049879</v>
      </c>
      <c r="DA274" s="399">
        <v>0</v>
      </c>
      <c r="DB274" s="399">
        <v>0</v>
      </c>
      <c r="DC274" s="399">
        <v>0</v>
      </c>
      <c r="DD274" s="399">
        <v>0</v>
      </c>
      <c r="DE274" s="399">
        <v>0</v>
      </c>
      <c r="DF274" s="399">
        <v>0</v>
      </c>
      <c r="DG274" s="399">
        <v>0</v>
      </c>
      <c r="DH274" s="399">
        <v>0</v>
      </c>
      <c r="DI274" s="399">
        <v>-279.65037994397471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-37.35672398680714</v>
      </c>
      <c r="DP274" s="399">
        <v>-8.2868564201149866</v>
      </c>
      <c r="DQ274" s="399">
        <v>0</v>
      </c>
      <c r="DR274" s="399">
        <v>0</v>
      </c>
      <c r="DS274" s="399"/>
      <c r="DT274" s="399"/>
      <c r="DU274" s="399"/>
      <c r="DV274" s="399">
        <v>23728.112664260949</v>
      </c>
      <c r="DW274" s="399">
        <v>0</v>
      </c>
      <c r="DX274" s="399">
        <v>0</v>
      </c>
      <c r="DY274" s="399">
        <v>-4568.6101199999976</v>
      </c>
      <c r="DZ274" s="399">
        <v>0</v>
      </c>
      <c r="EA274" s="399">
        <v>0</v>
      </c>
      <c r="EB274" s="399">
        <v>0</v>
      </c>
      <c r="EC274" s="399">
        <v>-4216.3424888883237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0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229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273</v>
      </c>
      <c r="B275" s="399" t="s">
        <v>954</v>
      </c>
      <c r="C275" s="399" t="s">
        <v>2336</v>
      </c>
      <c r="D275" s="399" t="s">
        <v>1822</v>
      </c>
      <c r="E275" s="399" t="s">
        <v>919</v>
      </c>
      <c r="F275" s="399" t="s">
        <v>2352</v>
      </c>
      <c r="G275" s="399" t="s">
        <v>1237</v>
      </c>
      <c r="H275" s="399" t="s">
        <v>1237</v>
      </c>
      <c r="I275" s="399" t="s">
        <v>1237</v>
      </c>
      <c r="J275" s="399" t="s">
        <v>2337</v>
      </c>
      <c r="K275" s="788">
        <v>44682</v>
      </c>
      <c r="L275" s="399">
        <v>0</v>
      </c>
      <c r="M275" s="399">
        <v>0</v>
      </c>
      <c r="N275" s="399">
        <v>4.4809999999999999</v>
      </c>
      <c r="O275" s="399">
        <v>4.2121399999999998</v>
      </c>
      <c r="P275" s="399">
        <v>4.4809999999999999</v>
      </c>
      <c r="Q275" s="399">
        <v>4.2121399999999998</v>
      </c>
      <c r="R275" s="399"/>
      <c r="S275" s="399">
        <v>707.13</v>
      </c>
      <c r="T275" s="399">
        <v>119.97</v>
      </c>
      <c r="U275" s="399"/>
      <c r="V275" s="399">
        <v>3706.2350999999999</v>
      </c>
      <c r="W275" s="399">
        <v>3706.2350999999999</v>
      </c>
      <c r="X275" s="399">
        <v>3266.7834299999995</v>
      </c>
      <c r="Y275" s="399">
        <v>0</v>
      </c>
      <c r="Z275" s="399">
        <v>272.86995538956512</v>
      </c>
      <c r="AA275" s="399">
        <v>0</v>
      </c>
      <c r="AB275" s="399">
        <v>0</v>
      </c>
      <c r="AC275" s="399">
        <v>0</v>
      </c>
      <c r="AD275" s="399">
        <v>481.88320360419664</v>
      </c>
      <c r="AE275" s="399">
        <v>2282.4553729626177</v>
      </c>
      <c r="AF275" s="399">
        <v>537.60278857198341</v>
      </c>
      <c r="AG275" s="399">
        <v>0</v>
      </c>
      <c r="AH275" s="399">
        <v>0</v>
      </c>
      <c r="AI275" s="399">
        <v>0</v>
      </c>
      <c r="AJ275" s="399">
        <v>0</v>
      </c>
      <c r="AK275" s="399">
        <v>0</v>
      </c>
      <c r="AL275" s="399">
        <v>42.167222297586022</v>
      </c>
      <c r="AM275" s="399"/>
      <c r="AN275" s="399">
        <v>9.6399697041578953</v>
      </c>
      <c r="AO275" s="399">
        <v>0</v>
      </c>
      <c r="AP275" s="399">
        <v>0</v>
      </c>
      <c r="AQ275" s="399">
        <v>0</v>
      </c>
      <c r="AR275" s="399">
        <v>0</v>
      </c>
      <c r="AS275" s="399">
        <v>0</v>
      </c>
      <c r="AT275" s="399">
        <v>0</v>
      </c>
      <c r="AU275" s="399">
        <v>0</v>
      </c>
      <c r="AV275" s="399">
        <v>0</v>
      </c>
      <c r="AW275" s="399">
        <v>0</v>
      </c>
      <c r="AX275" s="399">
        <v>0</v>
      </c>
      <c r="AY275" s="399">
        <v>0</v>
      </c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>
        <v>0</v>
      </c>
      <c r="BG275" s="399">
        <v>79.638184922318203</v>
      </c>
      <c r="BH275" s="399">
        <v>0</v>
      </c>
      <c r="BI275" s="399">
        <v>0</v>
      </c>
      <c r="BJ275" s="399">
        <v>0</v>
      </c>
      <c r="BK275" s="399">
        <v>1023.56</v>
      </c>
      <c r="BL275" s="399">
        <v>7</v>
      </c>
      <c r="BM275" s="399"/>
      <c r="BN275" s="399"/>
      <c r="BO275" s="399"/>
      <c r="BP275" s="399"/>
      <c r="BQ275" s="399">
        <v>196.00700580000006</v>
      </c>
      <c r="BR275" s="399"/>
      <c r="BS275" s="399"/>
      <c r="BT275" s="399"/>
      <c r="BU275" s="399"/>
      <c r="BV275" s="399">
        <v>617.24097349430167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3069.2162999999996</v>
      </c>
      <c r="CJ275" s="399">
        <v>-414.67469400000073</v>
      </c>
      <c r="CK275" s="399"/>
      <c r="CL275" s="399"/>
      <c r="CM275" s="399"/>
      <c r="CN275" s="399"/>
      <c r="CO275" s="399">
        <v>-439.45167000000021</v>
      </c>
      <c r="CP275" s="399">
        <v>0</v>
      </c>
      <c r="CQ275" s="399">
        <v>31</v>
      </c>
      <c r="CR275" s="399">
        <v>-33.868848868740997</v>
      </c>
      <c r="CS275" s="399">
        <v>0</v>
      </c>
      <c r="CT275" s="399">
        <v>0</v>
      </c>
      <c r="CU275" s="399">
        <v>0</v>
      </c>
      <c r="CV275" s="399">
        <v>0</v>
      </c>
      <c r="CW275" s="399">
        <v>0</v>
      </c>
      <c r="CX275" s="399">
        <v>0</v>
      </c>
      <c r="CY275" s="399">
        <v>0</v>
      </c>
      <c r="CZ275" s="399">
        <v>-2.5781618216632864</v>
      </c>
      <c r="DA275" s="399">
        <v>0</v>
      </c>
      <c r="DB275" s="399">
        <v>0</v>
      </c>
      <c r="DC275" s="399">
        <v>0</v>
      </c>
      <c r="DD275" s="399">
        <v>0</v>
      </c>
      <c r="DE275" s="399">
        <v>0</v>
      </c>
      <c r="DF275" s="399">
        <v>0</v>
      </c>
      <c r="DG275" s="399">
        <v>0</v>
      </c>
      <c r="DH275" s="399">
        <v>0</v>
      </c>
      <c r="DI275" s="399">
        <v>-26.900138299475572</v>
      </c>
      <c r="DJ275" s="399"/>
      <c r="DK275" s="399">
        <v>0</v>
      </c>
      <c r="DL275" s="399">
        <v>0</v>
      </c>
      <c r="DM275" s="399">
        <v>0</v>
      </c>
      <c r="DN275" s="399">
        <v>0</v>
      </c>
      <c r="DO275" s="399">
        <v>-3.5934191895673209</v>
      </c>
      <c r="DP275" s="399">
        <v>-0.79712955803472063</v>
      </c>
      <c r="DQ275" s="399">
        <v>0</v>
      </c>
      <c r="DR275" s="399">
        <v>0</v>
      </c>
      <c r="DS275" s="399"/>
      <c r="DT275" s="399"/>
      <c r="DU275" s="399"/>
      <c r="DV275" s="399">
        <v>2282.4553729626177</v>
      </c>
      <c r="DW275" s="399">
        <v>0</v>
      </c>
      <c r="DX275" s="399">
        <v>0</v>
      </c>
      <c r="DY275" s="399">
        <v>-439.45166999999992</v>
      </c>
      <c r="DZ275" s="399">
        <v>0</v>
      </c>
      <c r="EA275" s="399">
        <v>0</v>
      </c>
      <c r="EB275" s="399">
        <v>0</v>
      </c>
      <c r="EC275" s="399">
        <v>-405.57855166073932</v>
      </c>
      <c r="ED275" s="399">
        <v>0</v>
      </c>
      <c r="EE275" s="399">
        <v>0</v>
      </c>
      <c r="EF275" s="399">
        <v>0</v>
      </c>
      <c r="EG275" s="399">
        <v>0</v>
      </c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>
        <v>0</v>
      </c>
      <c r="EN275" s="399">
        <v>0</v>
      </c>
      <c r="EO275" s="399">
        <v>0</v>
      </c>
      <c r="EP275" s="399">
        <v>0</v>
      </c>
      <c r="EQ275" s="399">
        <v>0</v>
      </c>
      <c r="ER275" s="399">
        <v>0</v>
      </c>
      <c r="ES275" s="399">
        <v>0</v>
      </c>
      <c r="ET275" s="399">
        <v>0</v>
      </c>
      <c r="EU275" s="399">
        <v>0</v>
      </c>
      <c r="EV275" s="399">
        <v>229</v>
      </c>
      <c r="EW275" s="399">
        <v>0</v>
      </c>
      <c r="EX275" s="399">
        <v>0</v>
      </c>
      <c r="EY275" s="399">
        <v>0</v>
      </c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274</v>
      </c>
      <c r="B276" s="399" t="s">
        <v>954</v>
      </c>
      <c r="C276" s="399" t="s">
        <v>2344</v>
      </c>
      <c r="D276" s="399" t="s">
        <v>533</v>
      </c>
      <c r="E276" s="399" t="s">
        <v>919</v>
      </c>
      <c r="F276" s="399" t="s">
        <v>2352</v>
      </c>
      <c r="G276" s="399" t="s">
        <v>1237</v>
      </c>
      <c r="H276" s="399" t="s">
        <v>1237</v>
      </c>
      <c r="I276" s="399" t="s">
        <v>891</v>
      </c>
      <c r="J276" s="399" t="s">
        <v>2337</v>
      </c>
      <c r="K276" s="788">
        <v>44682</v>
      </c>
      <c r="L276" s="399">
        <v>0</v>
      </c>
      <c r="M276" s="399">
        <v>0</v>
      </c>
      <c r="N276" s="399">
        <v>4.077</v>
      </c>
      <c r="O276" s="399">
        <v>3.8323800000000001</v>
      </c>
      <c r="P276" s="399">
        <v>4.077</v>
      </c>
      <c r="Q276" s="399">
        <v>3.8323800000000001</v>
      </c>
      <c r="R276" s="399"/>
      <c r="S276" s="399">
        <v>3312.96</v>
      </c>
      <c r="T276" s="399">
        <v>119.97</v>
      </c>
      <c r="U276" s="399"/>
      <c r="V276" s="399">
        <v>13996.055609999999</v>
      </c>
      <c r="W276" s="399">
        <v>13996.055609999999</v>
      </c>
      <c r="X276" s="399">
        <v>12148.685369999999</v>
      </c>
      <c r="Y276" s="399">
        <v>0</v>
      </c>
      <c r="Z276" s="399">
        <v>215.99352891480319</v>
      </c>
      <c r="AA276" s="399">
        <v>0</v>
      </c>
      <c r="AB276" s="399">
        <v>0</v>
      </c>
      <c r="AC276" s="399">
        <v>0</v>
      </c>
      <c r="AD276" s="399">
        <v>3048.1242213078949</v>
      </c>
      <c r="AE276" s="399">
        <v>10164.738935867332</v>
      </c>
      <c r="AF276" s="399">
        <v>489.13335617227773</v>
      </c>
      <c r="AG276" s="399">
        <v>0</v>
      </c>
      <c r="AH276" s="399">
        <v>0</v>
      </c>
      <c r="AI276" s="399">
        <v>0</v>
      </c>
      <c r="AJ276" s="399">
        <v>0</v>
      </c>
      <c r="AK276" s="399">
        <v>0</v>
      </c>
      <c r="AL276" s="399">
        <v>38.365491030407995</v>
      </c>
      <c r="AM276" s="399"/>
      <c r="AN276" s="399">
        <v>3.4276643336382628</v>
      </c>
      <c r="AO276" s="399">
        <v>0</v>
      </c>
      <c r="AP276" s="399">
        <v>0</v>
      </c>
      <c r="AQ276" s="399">
        <v>0</v>
      </c>
      <c r="AR276" s="399">
        <v>0</v>
      </c>
      <c r="AS276" s="399">
        <v>0</v>
      </c>
      <c r="AT276" s="399">
        <v>0</v>
      </c>
      <c r="AU276" s="399">
        <v>0</v>
      </c>
      <c r="AV276" s="399">
        <v>0</v>
      </c>
      <c r="AW276" s="399">
        <v>0</v>
      </c>
      <c r="AX276" s="399">
        <v>0</v>
      </c>
      <c r="AY276" s="399">
        <v>0</v>
      </c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>
        <v>0</v>
      </c>
      <c r="BG276" s="399">
        <v>36.300985869824963</v>
      </c>
      <c r="BH276" s="399">
        <v>0</v>
      </c>
      <c r="BI276" s="399">
        <v>0</v>
      </c>
      <c r="BJ276" s="399">
        <v>0</v>
      </c>
      <c r="BK276" s="399">
        <v>0</v>
      </c>
      <c r="BL276" s="399">
        <v>0</v>
      </c>
      <c r="BM276" s="399"/>
      <c r="BN276" s="399"/>
      <c r="BO276" s="399"/>
      <c r="BP276" s="399"/>
      <c r="BQ276" s="399">
        <v>728.92112219999956</v>
      </c>
      <c r="BR276" s="399"/>
      <c r="BS276" s="399"/>
      <c r="BT276" s="399"/>
      <c r="BU276" s="399"/>
      <c r="BV276" s="399">
        <v>525.43434204210268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11412.6723</v>
      </c>
      <c r="CJ276" s="399">
        <v>-1743.6499734000008</v>
      </c>
      <c r="CK276" s="399"/>
      <c r="CL276" s="399"/>
      <c r="CM276" s="399"/>
      <c r="CN276" s="399"/>
      <c r="CO276" s="399">
        <v>-1847.3702399999995</v>
      </c>
      <c r="CP276" s="399">
        <v>0</v>
      </c>
      <c r="CQ276" s="399">
        <v>31</v>
      </c>
      <c r="CR276" s="399">
        <v>-41.154020056395439</v>
      </c>
      <c r="CS276" s="399">
        <v>0</v>
      </c>
      <c r="CT276" s="399">
        <v>0</v>
      </c>
      <c r="CU276" s="399">
        <v>0</v>
      </c>
      <c r="CV276" s="399">
        <v>0</v>
      </c>
      <c r="CW276" s="399">
        <v>0</v>
      </c>
      <c r="CX276" s="399">
        <v>0</v>
      </c>
      <c r="CY276" s="399">
        <v>0</v>
      </c>
      <c r="CZ276" s="399">
        <v>-16.308012888375742</v>
      </c>
      <c r="DA276" s="399">
        <v>0</v>
      </c>
      <c r="DB276" s="399">
        <v>0</v>
      </c>
      <c r="DC276" s="399">
        <v>0</v>
      </c>
      <c r="DD276" s="399">
        <v>0</v>
      </c>
      <c r="DE276" s="399">
        <v>0</v>
      </c>
      <c r="DF276" s="399">
        <v>0</v>
      </c>
      <c r="DG276" s="399">
        <v>0</v>
      </c>
      <c r="DH276" s="399">
        <v>0</v>
      </c>
      <c r="DI276" s="399">
        <v>-21.293131342748552</v>
      </c>
      <c r="DJ276" s="399"/>
      <c r="DK276" s="399">
        <v>0</v>
      </c>
      <c r="DL276" s="399">
        <v>0</v>
      </c>
      <c r="DM276" s="399">
        <v>0</v>
      </c>
      <c r="DN276" s="399">
        <v>0</v>
      </c>
      <c r="DO276" s="399">
        <v>-3.2694420968234681</v>
      </c>
      <c r="DP276" s="399">
        <v>-0.28343372844687575</v>
      </c>
      <c r="DQ276" s="399">
        <v>0</v>
      </c>
      <c r="DR276" s="399">
        <v>0</v>
      </c>
      <c r="DS276" s="399"/>
      <c r="DT276" s="399"/>
      <c r="DU276" s="399"/>
      <c r="DV276" s="399">
        <v>10164.738935867332</v>
      </c>
      <c r="DW276" s="399">
        <v>0</v>
      </c>
      <c r="DX276" s="399">
        <v>0</v>
      </c>
      <c r="DY276" s="399">
        <v>-1847.3702400000002</v>
      </c>
      <c r="DZ276" s="399">
        <v>0</v>
      </c>
      <c r="EA276" s="399">
        <v>0</v>
      </c>
      <c r="EB276" s="399">
        <v>0</v>
      </c>
      <c r="EC276" s="399">
        <v>-1806.2127936667839</v>
      </c>
      <c r="ED276" s="399">
        <v>0</v>
      </c>
      <c r="EE276" s="399">
        <v>0</v>
      </c>
      <c r="EF276" s="399">
        <v>0</v>
      </c>
      <c r="EG276" s="399">
        <v>0</v>
      </c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>
        <v>0</v>
      </c>
      <c r="EN276" s="399">
        <v>0</v>
      </c>
      <c r="EO276" s="399">
        <v>0</v>
      </c>
      <c r="EP276" s="399">
        <v>0</v>
      </c>
      <c r="EQ276" s="399">
        <v>0</v>
      </c>
      <c r="ER276" s="399">
        <v>0</v>
      </c>
      <c r="ES276" s="399">
        <v>0</v>
      </c>
      <c r="ET276" s="399">
        <v>0</v>
      </c>
      <c r="EU276" s="399">
        <v>0</v>
      </c>
      <c r="EV276" s="399">
        <v>229</v>
      </c>
      <c r="EW276" s="399">
        <v>0</v>
      </c>
      <c r="EX276" s="399">
        <v>0</v>
      </c>
      <c r="EY276" s="399">
        <v>0</v>
      </c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275</v>
      </c>
      <c r="B277" s="399" t="s">
        <v>954</v>
      </c>
      <c r="C277" s="399" t="s">
        <v>2344</v>
      </c>
      <c r="D277" s="399" t="s">
        <v>533</v>
      </c>
      <c r="E277" s="399" t="s">
        <v>919</v>
      </c>
      <c r="F277" s="399" t="s">
        <v>2352</v>
      </c>
      <c r="G277" s="399" t="s">
        <v>1237</v>
      </c>
      <c r="H277" s="399" t="s">
        <v>1237</v>
      </c>
      <c r="I277" s="399" t="s">
        <v>2322</v>
      </c>
      <c r="J277" s="399" t="s">
        <v>2337</v>
      </c>
      <c r="K277" s="788">
        <v>44682</v>
      </c>
      <c r="L277" s="399">
        <v>0</v>
      </c>
      <c r="M277" s="399">
        <v>0</v>
      </c>
      <c r="N277" s="399">
        <v>34.439</v>
      </c>
      <c r="O277" s="399">
        <v>32.372660000000003</v>
      </c>
      <c r="P277" s="399">
        <v>34.439</v>
      </c>
      <c r="Q277" s="399">
        <v>32.372660000000003</v>
      </c>
      <c r="R277" s="399"/>
      <c r="S277" s="399">
        <v>72.13</v>
      </c>
      <c r="T277" s="399">
        <v>119.97</v>
      </c>
      <c r="U277" s="399"/>
      <c r="V277" s="399">
        <v>6615.7318999999989</v>
      </c>
      <c r="W277" s="399">
        <v>6615.7318999999989</v>
      </c>
      <c r="X277" s="399">
        <v>6405.9983899999997</v>
      </c>
      <c r="Y277" s="399">
        <v>0</v>
      </c>
      <c r="Z277" s="399">
        <v>1824.5281192781229</v>
      </c>
      <c r="AA277" s="399">
        <v>0</v>
      </c>
      <c r="AB277" s="399">
        <v>0</v>
      </c>
      <c r="AC277" s="399">
        <v>0</v>
      </c>
      <c r="AD277" s="399">
        <v>0</v>
      </c>
      <c r="AE277" s="399">
        <v>0</v>
      </c>
      <c r="AF277" s="399">
        <v>4131.7791643897654</v>
      </c>
      <c r="AG277" s="399">
        <v>0</v>
      </c>
      <c r="AH277" s="399">
        <v>0</v>
      </c>
      <c r="AI277" s="399">
        <v>0</v>
      </c>
      <c r="AJ277" s="399">
        <v>0</v>
      </c>
      <c r="AK277" s="399">
        <v>0</v>
      </c>
      <c r="AL277" s="399">
        <v>324.07877007510939</v>
      </c>
      <c r="AM277" s="399"/>
      <c r="AN277" s="399">
        <v>28.95396909153008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306.63960077775374</v>
      </c>
      <c r="BH277" s="399">
        <v>0</v>
      </c>
      <c r="BI277" s="399">
        <v>0</v>
      </c>
      <c r="BJ277" s="399">
        <v>0</v>
      </c>
      <c r="BK277" s="399">
        <v>0</v>
      </c>
      <c r="BL277" s="399">
        <v>0</v>
      </c>
      <c r="BM277" s="399"/>
      <c r="BN277" s="399"/>
      <c r="BO277" s="399"/>
      <c r="BP277" s="399"/>
      <c r="BQ277" s="399">
        <v>384.35990339999944</v>
      </c>
      <c r="BR277" s="399"/>
      <c r="BS277" s="399"/>
      <c r="BT277" s="399"/>
      <c r="BU277" s="399"/>
      <c r="BV277" s="399">
        <v>4438.4187651675193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6021.1436999999996</v>
      </c>
      <c r="CJ277" s="399">
        <v>-197.6742860000013</v>
      </c>
      <c r="CK277" s="399"/>
      <c r="CL277" s="399"/>
      <c r="CM277" s="399"/>
      <c r="CN277" s="399"/>
      <c r="CO277" s="399">
        <v>-209.73350999999963</v>
      </c>
      <c r="CP277" s="399">
        <v>0</v>
      </c>
      <c r="CQ277" s="399">
        <v>31</v>
      </c>
      <c r="CR277" s="399">
        <v>-209.87776327186748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0</v>
      </c>
      <c r="DA277" s="399">
        <v>0</v>
      </c>
      <c r="DB277" s="399">
        <v>0</v>
      </c>
      <c r="DC277" s="399">
        <v>0</v>
      </c>
      <c r="DD277" s="399">
        <v>0</v>
      </c>
      <c r="DE277" s="399">
        <v>0</v>
      </c>
      <c r="DF277" s="399">
        <v>0</v>
      </c>
      <c r="DG277" s="399">
        <v>0</v>
      </c>
      <c r="DH277" s="399">
        <v>0</v>
      </c>
      <c r="DI277" s="399">
        <v>-179.86611486703873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-27.617443309419571</v>
      </c>
      <c r="DP277" s="399">
        <v>-2.3942050954088678</v>
      </c>
      <c r="DQ277" s="399">
        <v>0</v>
      </c>
      <c r="DR277" s="399">
        <v>0</v>
      </c>
      <c r="DS277" s="399"/>
      <c r="DT277" s="399"/>
      <c r="DU277" s="399"/>
      <c r="DV277" s="399">
        <v>0</v>
      </c>
      <c r="DW277" s="399">
        <v>0</v>
      </c>
      <c r="DX277" s="399">
        <v>0</v>
      </c>
      <c r="DY277" s="399">
        <v>-209.73350999999957</v>
      </c>
      <c r="DZ277" s="399">
        <v>0</v>
      </c>
      <c r="EA277" s="399">
        <v>0</v>
      </c>
      <c r="EB277" s="399">
        <v>0</v>
      </c>
      <c r="EC277" s="399">
        <v>0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229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276</v>
      </c>
      <c r="B278" s="399" t="s">
        <v>954</v>
      </c>
      <c r="C278" s="399" t="s">
        <v>2344</v>
      </c>
      <c r="D278" s="399" t="s">
        <v>533</v>
      </c>
      <c r="E278" s="399" t="s">
        <v>919</v>
      </c>
      <c r="F278" s="399" t="s">
        <v>2352</v>
      </c>
      <c r="G278" s="399" t="s">
        <v>1237</v>
      </c>
      <c r="H278" s="399" t="s">
        <v>1237</v>
      </c>
      <c r="I278" s="399" t="s">
        <v>1237</v>
      </c>
      <c r="J278" s="399" t="s">
        <v>2337</v>
      </c>
      <c r="K278" s="788">
        <v>44682</v>
      </c>
      <c r="L278" s="399">
        <v>100</v>
      </c>
      <c r="M278" s="399">
        <v>94</v>
      </c>
      <c r="N278" s="399">
        <v>0</v>
      </c>
      <c r="O278" s="399">
        <v>0</v>
      </c>
      <c r="P278" s="399">
        <v>0</v>
      </c>
      <c r="Q278" s="399">
        <v>0</v>
      </c>
      <c r="R278" s="399">
        <v>46.29</v>
      </c>
      <c r="S278" s="399"/>
      <c r="T278" s="399"/>
      <c r="U278" s="399">
        <v>4629</v>
      </c>
      <c r="V278" s="399"/>
      <c r="W278" s="399">
        <v>4629</v>
      </c>
      <c r="X278" s="399">
        <v>4115</v>
      </c>
      <c r="Y278" s="399">
        <v>0</v>
      </c>
      <c r="Z278" s="399">
        <v>0</v>
      </c>
      <c r="AA278" s="399">
        <v>0</v>
      </c>
      <c r="AB278" s="399">
        <v>0</v>
      </c>
      <c r="AC278" s="399">
        <v>0</v>
      </c>
      <c r="AD278" s="399">
        <v>1791.3012373515901</v>
      </c>
      <c r="AE278" s="399">
        <v>2837.3428309380402</v>
      </c>
      <c r="AF278" s="399"/>
      <c r="AG278" s="399"/>
      <c r="AH278" s="399"/>
      <c r="AI278" s="399">
        <v>0</v>
      </c>
      <c r="AJ278" s="399">
        <v>0</v>
      </c>
      <c r="AK278" s="399">
        <v>0</v>
      </c>
      <c r="AL278" s="399">
        <v>0</v>
      </c>
      <c r="AM278" s="399"/>
      <c r="AN278" s="399">
        <v>0</v>
      </c>
      <c r="AO278" s="399">
        <v>0</v>
      </c>
      <c r="AP278" s="399">
        <v>0</v>
      </c>
      <c r="AQ278" s="399">
        <v>0</v>
      </c>
      <c r="AR278" s="399">
        <v>0</v>
      </c>
      <c r="AS278" s="399"/>
      <c r="AT278" s="399"/>
      <c r="AU278" s="399">
        <v>0</v>
      </c>
      <c r="AV278" s="399">
        <v>0</v>
      </c>
      <c r="AW278" s="399">
        <v>0</v>
      </c>
      <c r="AX278" s="399"/>
      <c r="AY278" s="399"/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/>
      <c r="BG278" s="399">
        <v>0</v>
      </c>
      <c r="BH278" s="399">
        <v>0</v>
      </c>
      <c r="BI278" s="399">
        <v>0</v>
      </c>
      <c r="BJ278" s="399">
        <v>0</v>
      </c>
      <c r="BK278" s="399">
        <v>7090.26</v>
      </c>
      <c r="BL278" s="399">
        <v>1</v>
      </c>
      <c r="BM278" s="399"/>
      <c r="BN278" s="399"/>
      <c r="BO278" s="399"/>
      <c r="BP278" s="399"/>
      <c r="BQ278" s="399">
        <v>246.89999999999998</v>
      </c>
      <c r="BR278" s="399"/>
      <c r="BS278" s="399"/>
      <c r="BT278" s="399"/>
      <c r="BU278" s="399"/>
      <c r="BV278" s="399">
        <v>0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3868.1</v>
      </c>
      <c r="CJ278" s="399">
        <v>-483.19000000000096</v>
      </c>
      <c r="CK278" s="399"/>
      <c r="CL278" s="399"/>
      <c r="CM278" s="399"/>
      <c r="CN278" s="399"/>
      <c r="CO278" s="399">
        <v>-514</v>
      </c>
      <c r="CP278" s="399">
        <v>0</v>
      </c>
      <c r="CQ278" s="399">
        <v>31</v>
      </c>
      <c r="CR278" s="399">
        <v>-9.5837838436800666</v>
      </c>
      <c r="CS278" s="399">
        <v>0</v>
      </c>
      <c r="CT278" s="399">
        <v>0</v>
      </c>
      <c r="CU278" s="399">
        <v>0</v>
      </c>
      <c r="CV278" s="399">
        <v>0</v>
      </c>
      <c r="CW278" s="399"/>
      <c r="CX278" s="399"/>
      <c r="CY278" s="399"/>
      <c r="CZ278" s="399">
        <v>-9.5837838436800666</v>
      </c>
      <c r="DA278" s="399">
        <v>0</v>
      </c>
      <c r="DB278" s="399">
        <v>0</v>
      </c>
      <c r="DC278" s="399"/>
      <c r="DD278" s="399"/>
      <c r="DE278" s="399">
        <v>0</v>
      </c>
      <c r="DF278" s="399">
        <v>0</v>
      </c>
      <c r="DG278" s="399">
        <v>0</v>
      </c>
      <c r="DH278" s="399">
        <v>0</v>
      </c>
      <c r="DI278" s="399">
        <v>0</v>
      </c>
      <c r="DJ278" s="399"/>
      <c r="DK278" s="399">
        <v>0</v>
      </c>
      <c r="DL278" s="399">
        <v>0</v>
      </c>
      <c r="DM278" s="399"/>
      <c r="DN278" s="399">
        <v>0</v>
      </c>
      <c r="DO278" s="399">
        <v>0</v>
      </c>
      <c r="DP278" s="399">
        <v>0</v>
      </c>
      <c r="DQ278" s="399">
        <v>0</v>
      </c>
      <c r="DR278" s="399">
        <v>0</v>
      </c>
      <c r="DS278" s="399"/>
      <c r="DT278" s="399"/>
      <c r="DU278" s="399">
        <v>2837.3428309380402</v>
      </c>
      <c r="DV278" s="399"/>
      <c r="DW278" s="399">
        <v>0</v>
      </c>
      <c r="DX278" s="399">
        <v>0</v>
      </c>
      <c r="DY278" s="399">
        <v>-514</v>
      </c>
      <c r="DZ278" s="399"/>
      <c r="EA278" s="399">
        <v>0</v>
      </c>
      <c r="EB278" s="399"/>
      <c r="EC278" s="399">
        <v>-504.17870577822032</v>
      </c>
      <c r="ED278" s="399"/>
      <c r="EE278" s="399">
        <v>0</v>
      </c>
      <c r="EF278" s="399">
        <v>0</v>
      </c>
      <c r="EG278" s="399"/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/>
      <c r="EN278" s="399"/>
      <c r="EO278" s="399">
        <v>0</v>
      </c>
      <c r="EP278" s="399">
        <v>0</v>
      </c>
      <c r="EQ278" s="399"/>
      <c r="ER278" s="399">
        <v>0</v>
      </c>
      <c r="ES278" s="399"/>
      <c r="ET278" s="399">
        <v>0</v>
      </c>
      <c r="EU278" s="399"/>
      <c r="EV278" s="399">
        <v>229</v>
      </c>
      <c r="EW278" s="399"/>
      <c r="EX278" s="399"/>
      <c r="EY278" s="399"/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277</v>
      </c>
      <c r="B279" s="399" t="s">
        <v>954</v>
      </c>
      <c r="C279" s="399" t="s">
        <v>2336</v>
      </c>
      <c r="D279" s="399" t="s">
        <v>1819</v>
      </c>
      <c r="E279" s="399" t="s">
        <v>887</v>
      </c>
      <c r="F279" s="399" t="s">
        <v>887</v>
      </c>
      <c r="G279" s="399" t="s">
        <v>1237</v>
      </c>
      <c r="H279" s="399" t="s">
        <v>1237</v>
      </c>
      <c r="I279" s="399" t="s">
        <v>1237</v>
      </c>
      <c r="J279" s="399" t="s">
        <v>2337</v>
      </c>
      <c r="K279" s="788">
        <v>44713</v>
      </c>
      <c r="L279" s="399">
        <v>0</v>
      </c>
      <c r="M279" s="399">
        <v>0</v>
      </c>
      <c r="N279" s="399">
        <v>660.55600000000004</v>
      </c>
      <c r="O279" s="399">
        <v>660.55600000000004</v>
      </c>
      <c r="P279" s="399">
        <v>660.55600000000004</v>
      </c>
      <c r="Q279" s="399">
        <v>660.55600000000004</v>
      </c>
      <c r="R279" s="399"/>
      <c r="S279" s="399">
        <v>707.13</v>
      </c>
      <c r="T279" s="399">
        <v>119.97</v>
      </c>
      <c r="U279" s="399"/>
      <c r="V279" s="399">
        <v>546345.8676</v>
      </c>
      <c r="W279" s="399">
        <v>546345.8676</v>
      </c>
      <c r="X279" s="399">
        <v>481565.14067999995</v>
      </c>
      <c r="Y279" s="399">
        <v>0</v>
      </c>
      <c r="Z279" s="399">
        <v>40224.478074606028</v>
      </c>
      <c r="AA279" s="399">
        <v>0</v>
      </c>
      <c r="AB279" s="399">
        <v>0</v>
      </c>
      <c r="AC279" s="399">
        <v>0</v>
      </c>
      <c r="AD279" s="399">
        <v>71035.670930589986</v>
      </c>
      <c r="AE279" s="399">
        <v>336462.75191758428</v>
      </c>
      <c r="AF279" s="399">
        <v>79249.441555000027</v>
      </c>
      <c r="AG279" s="399">
        <v>0</v>
      </c>
      <c r="AH279" s="399">
        <v>0</v>
      </c>
      <c r="AI279" s="399">
        <v>0</v>
      </c>
      <c r="AJ279" s="399">
        <v>0</v>
      </c>
      <c r="AK279" s="399">
        <v>0</v>
      </c>
      <c r="AL279" s="399">
        <v>6215.9811854506215</v>
      </c>
      <c r="AM279" s="399"/>
      <c r="AN279" s="399">
        <v>1421.0532979021923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11739.674376154167</v>
      </c>
      <c r="BH279" s="399">
        <v>0</v>
      </c>
      <c r="BI279" s="399">
        <v>0</v>
      </c>
      <c r="BJ279" s="399">
        <v>0</v>
      </c>
      <c r="BK279" s="399">
        <v>109669.62</v>
      </c>
      <c r="BL279" s="399">
        <v>3096</v>
      </c>
      <c r="BM279" s="399"/>
      <c r="BN279" s="399"/>
      <c r="BO279" s="399"/>
      <c r="BP279" s="399"/>
      <c r="BQ279" s="399"/>
      <c r="BR279" s="399"/>
      <c r="BS279" s="399"/>
      <c r="BT279" s="399"/>
      <c r="BU279" s="399"/>
      <c r="BV279" s="399">
        <v>90989.1159311542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481568.0567999999</v>
      </c>
      <c r="CJ279" s="399">
        <v>-64777.840800000122</v>
      </c>
      <c r="CK279" s="399"/>
      <c r="CL279" s="399"/>
      <c r="CM279" s="399"/>
      <c r="CN279" s="399"/>
      <c r="CO279" s="399">
        <v>-64780.726920000037</v>
      </c>
      <c r="CP279" s="399">
        <v>0</v>
      </c>
      <c r="CQ279" s="399">
        <v>30</v>
      </c>
      <c r="CR279" s="399">
        <v>-4992.6961243785045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-380.0536175564921</v>
      </c>
      <c r="DA279" s="399">
        <v>0</v>
      </c>
      <c r="DB279" s="399">
        <v>0</v>
      </c>
      <c r="DC279" s="399">
        <v>0</v>
      </c>
      <c r="DD279" s="399">
        <v>0</v>
      </c>
      <c r="DE279" s="399">
        <v>0</v>
      </c>
      <c r="DF279" s="399">
        <v>0</v>
      </c>
      <c r="DG279" s="399">
        <v>0</v>
      </c>
      <c r="DH279" s="399">
        <v>0</v>
      </c>
      <c r="DI279" s="399">
        <v>-3965.4201639251114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-529.71537741214706</v>
      </c>
      <c r="DP279" s="399">
        <v>-117.50696548475412</v>
      </c>
      <c r="DQ279" s="399">
        <v>0</v>
      </c>
      <c r="DR279" s="399">
        <v>0</v>
      </c>
      <c r="DS279" s="399"/>
      <c r="DT279" s="399"/>
      <c r="DU279" s="399"/>
      <c r="DV279" s="399">
        <v>336462.75191758428</v>
      </c>
      <c r="DW279" s="399">
        <v>0</v>
      </c>
      <c r="DX279" s="399">
        <v>0</v>
      </c>
      <c r="DY279" s="399">
        <v>-64780.726920000045</v>
      </c>
      <c r="DZ279" s="399">
        <v>0</v>
      </c>
      <c r="EA279" s="399">
        <v>0</v>
      </c>
      <c r="EB279" s="399">
        <v>0</v>
      </c>
      <c r="EC279" s="399">
        <v>-59787.401421738788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0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229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278</v>
      </c>
      <c r="B280" s="399" t="s">
        <v>2338</v>
      </c>
      <c r="C280" s="399" t="s">
        <v>2336</v>
      </c>
      <c r="D280" s="399" t="s">
        <v>1819</v>
      </c>
      <c r="E280" s="399" t="s">
        <v>887</v>
      </c>
      <c r="F280" s="399" t="s">
        <v>887</v>
      </c>
      <c r="G280" s="399" t="s">
        <v>1237</v>
      </c>
      <c r="H280" s="399" t="s">
        <v>1237</v>
      </c>
      <c r="I280" s="399" t="s">
        <v>1237</v>
      </c>
      <c r="J280" s="399" t="s">
        <v>2337</v>
      </c>
      <c r="K280" s="788">
        <v>44713</v>
      </c>
      <c r="L280" s="399">
        <v>0</v>
      </c>
      <c r="M280" s="399">
        <v>0</v>
      </c>
      <c r="N280" s="399">
        <v>-100.9</v>
      </c>
      <c r="O280" s="399">
        <v>-100.9</v>
      </c>
      <c r="P280" s="399">
        <v>-100.9</v>
      </c>
      <c r="Q280" s="399">
        <v>-100.9</v>
      </c>
      <c r="R280" s="399"/>
      <c r="S280" s="399">
        <v>707.13</v>
      </c>
      <c r="T280" s="399">
        <v>119.97</v>
      </c>
      <c r="U280" s="399"/>
      <c r="V280" s="399">
        <v>-83454.39</v>
      </c>
      <c r="W280" s="399">
        <v>-83454.39</v>
      </c>
      <c r="X280" s="399">
        <v>-73559.126999999993</v>
      </c>
      <c r="Y280" s="399">
        <v>0</v>
      </c>
      <c r="Z280" s="399">
        <v>-6144.2933494325207</v>
      </c>
      <c r="AA280" s="399">
        <v>0</v>
      </c>
      <c r="AB280" s="399">
        <v>0</v>
      </c>
      <c r="AC280" s="399">
        <v>0</v>
      </c>
      <c r="AD280" s="399">
        <v>-10850.706369931588</v>
      </c>
      <c r="AE280" s="399">
        <v>-51394.721520180348</v>
      </c>
      <c r="AF280" s="399">
        <v>-12105.360715669076</v>
      </c>
      <c r="AG280" s="399">
        <v>0</v>
      </c>
      <c r="AH280" s="399">
        <v>0</v>
      </c>
      <c r="AI280" s="399">
        <v>0</v>
      </c>
      <c r="AJ280" s="399">
        <v>0</v>
      </c>
      <c r="AK280" s="399">
        <v>0</v>
      </c>
      <c r="AL280" s="399">
        <v>-949.49179420362202</v>
      </c>
      <c r="AM280" s="399"/>
      <c r="AN280" s="399">
        <v>-217.06604399677119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-1793.236522798908</v>
      </c>
      <c r="BH280" s="399">
        <v>0</v>
      </c>
      <c r="BI280" s="399">
        <v>0</v>
      </c>
      <c r="BJ280" s="399">
        <v>0</v>
      </c>
      <c r="BK280" s="399">
        <v>-24459.24</v>
      </c>
      <c r="BL280" s="399">
        <v>0</v>
      </c>
      <c r="BM280" s="399"/>
      <c r="BN280" s="399"/>
      <c r="BO280" s="399"/>
      <c r="BP280" s="399"/>
      <c r="BQ280" s="399"/>
      <c r="BR280" s="399"/>
      <c r="BS280" s="399"/>
      <c r="BT280" s="399"/>
      <c r="BU280" s="399"/>
      <c r="BV280" s="399">
        <v>-13898.597238467984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-73559.126999999993</v>
      </c>
      <c r="CJ280" s="399">
        <v>9895.233000000022</v>
      </c>
      <c r="CK280" s="399"/>
      <c r="CL280" s="399"/>
      <c r="CM280" s="399"/>
      <c r="CN280" s="399"/>
      <c r="CO280" s="399">
        <v>9895.2630000000063</v>
      </c>
      <c r="CP280" s="399">
        <v>0</v>
      </c>
      <c r="CQ280" s="399">
        <v>30</v>
      </c>
      <c r="CR280" s="399">
        <v>762.63486963980904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58.053230931896906</v>
      </c>
      <c r="DA280" s="399">
        <v>0</v>
      </c>
      <c r="DB280" s="399">
        <v>0</v>
      </c>
      <c r="DC280" s="399">
        <v>0</v>
      </c>
      <c r="DD280" s="399">
        <v>0</v>
      </c>
      <c r="DE280" s="399">
        <v>0</v>
      </c>
      <c r="DF280" s="399">
        <v>0</v>
      </c>
      <c r="DG280" s="399">
        <v>0</v>
      </c>
      <c r="DH280" s="399">
        <v>0</v>
      </c>
      <c r="DI280" s="399">
        <v>605.71835626357733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80.914080836273797</v>
      </c>
      <c r="DP280" s="399">
        <v>17.949201608056967</v>
      </c>
      <c r="DQ280" s="399">
        <v>0</v>
      </c>
      <c r="DR280" s="399">
        <v>0</v>
      </c>
      <c r="DS280" s="399"/>
      <c r="DT280" s="399"/>
      <c r="DU280" s="399"/>
      <c r="DV280" s="399">
        <v>-51394.721520180348</v>
      </c>
      <c r="DW280" s="399">
        <v>0</v>
      </c>
      <c r="DX280" s="399">
        <v>0</v>
      </c>
      <c r="DY280" s="399">
        <v>9895.2630000000063</v>
      </c>
      <c r="DZ280" s="399">
        <v>0</v>
      </c>
      <c r="EA280" s="399">
        <v>0</v>
      </c>
      <c r="EB280" s="399">
        <v>0</v>
      </c>
      <c r="EC280" s="399">
        <v>9132.5319934319559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0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229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279</v>
      </c>
      <c r="B281" s="399" t="s">
        <v>2339</v>
      </c>
      <c r="C281" s="399" t="s">
        <v>2336</v>
      </c>
      <c r="D281" s="399" t="s">
        <v>1819</v>
      </c>
      <c r="E281" s="399" t="s">
        <v>887</v>
      </c>
      <c r="F281" s="399" t="s">
        <v>887</v>
      </c>
      <c r="G281" s="399" t="s">
        <v>1237</v>
      </c>
      <c r="H281" s="399" t="s">
        <v>1237</v>
      </c>
      <c r="I281" s="399" t="s">
        <v>1237</v>
      </c>
      <c r="J281" s="399" t="s">
        <v>2337</v>
      </c>
      <c r="K281" s="788">
        <v>44713</v>
      </c>
      <c r="L281" s="399">
        <v>0</v>
      </c>
      <c r="M281" s="399">
        <v>0</v>
      </c>
      <c r="N281" s="399">
        <v>14.672000000000001</v>
      </c>
      <c r="O281" s="399">
        <v>14.672000000000001</v>
      </c>
      <c r="P281" s="399">
        <v>14.672000000000001</v>
      </c>
      <c r="Q281" s="399">
        <v>14.672000000000001</v>
      </c>
      <c r="R281" s="399"/>
      <c r="S281" s="399">
        <v>707.13</v>
      </c>
      <c r="T281" s="399">
        <v>119.97</v>
      </c>
      <c r="U281" s="399"/>
      <c r="V281" s="399">
        <v>12135.2112</v>
      </c>
      <c r="W281" s="399">
        <v>12135.2112</v>
      </c>
      <c r="X281" s="399">
        <v>10696.328159999999</v>
      </c>
      <c r="Y281" s="399">
        <v>0</v>
      </c>
      <c r="Z281" s="399">
        <v>893.44967317020746</v>
      </c>
      <c r="AA281" s="399">
        <v>0</v>
      </c>
      <c r="AB281" s="399">
        <v>0</v>
      </c>
      <c r="AC281" s="399">
        <v>0</v>
      </c>
      <c r="AD281" s="399">
        <v>1577.8153008883673</v>
      </c>
      <c r="AE281" s="399">
        <v>7473.373182795699</v>
      </c>
      <c r="AF281" s="399">
        <v>1760.2562182388176</v>
      </c>
      <c r="AG281" s="399">
        <v>0</v>
      </c>
      <c r="AH281" s="399">
        <v>0</v>
      </c>
      <c r="AI281" s="399">
        <v>0</v>
      </c>
      <c r="AJ281" s="399">
        <v>0</v>
      </c>
      <c r="AK281" s="399">
        <v>0</v>
      </c>
      <c r="AL281" s="399">
        <v>138.06683453474272</v>
      </c>
      <c r="AM281" s="399"/>
      <c r="AN281" s="399">
        <v>31.563855277706907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260.75685096635857</v>
      </c>
      <c r="BH281" s="399">
        <v>0</v>
      </c>
      <c r="BI281" s="399">
        <v>0</v>
      </c>
      <c r="BJ281" s="399">
        <v>0</v>
      </c>
      <c r="BK281" s="399">
        <v>5435.5</v>
      </c>
      <c r="BL281" s="399">
        <v>54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2021.0130692051762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10694.870099999998</v>
      </c>
      <c r="CJ281" s="399">
        <v>-1440.3711000000021</v>
      </c>
      <c r="CK281" s="399"/>
      <c r="CL281" s="399"/>
      <c r="CM281" s="399"/>
      <c r="CN281" s="399"/>
      <c r="CO281" s="399">
        <v>-1438.8830400000008</v>
      </c>
      <c r="CP281" s="399">
        <v>0</v>
      </c>
      <c r="CQ281" s="399">
        <v>30</v>
      </c>
      <c r="CR281" s="399">
        <v>-110.89572653473988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-8.4415956811972137</v>
      </c>
      <c r="DA281" s="399">
        <v>0</v>
      </c>
      <c r="DB281" s="399">
        <v>0</v>
      </c>
      <c r="DC281" s="399">
        <v>0</v>
      </c>
      <c r="DD281" s="399">
        <v>0</v>
      </c>
      <c r="DE281" s="399">
        <v>0</v>
      </c>
      <c r="DF281" s="399">
        <v>0</v>
      </c>
      <c r="DG281" s="399">
        <v>0</v>
      </c>
      <c r="DH281" s="399">
        <v>0</v>
      </c>
      <c r="DI281" s="399">
        <v>-88.078292597613427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-11.76582154638065</v>
      </c>
      <c r="DP281" s="399">
        <v>-2.6100167095481837</v>
      </c>
      <c r="DQ281" s="399">
        <v>0</v>
      </c>
      <c r="DR281" s="399">
        <v>0</v>
      </c>
      <c r="DS281" s="399"/>
      <c r="DT281" s="399"/>
      <c r="DU281" s="399"/>
      <c r="DV281" s="399">
        <v>7473.373182795699</v>
      </c>
      <c r="DW281" s="399">
        <v>0</v>
      </c>
      <c r="DX281" s="399">
        <v>0</v>
      </c>
      <c r="DY281" s="399">
        <v>-1438.8830400000006</v>
      </c>
      <c r="DZ281" s="399">
        <v>0</v>
      </c>
      <c r="EA281" s="399">
        <v>0</v>
      </c>
      <c r="EB281" s="399">
        <v>0</v>
      </c>
      <c r="EC281" s="399">
        <v>-1327.9733340697094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0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229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280</v>
      </c>
      <c r="B282" s="399" t="s">
        <v>954</v>
      </c>
      <c r="C282" s="399" t="s">
        <v>2336</v>
      </c>
      <c r="D282" s="399" t="s">
        <v>1819</v>
      </c>
      <c r="E282" s="399" t="s">
        <v>887</v>
      </c>
      <c r="F282" s="399" t="s">
        <v>2340</v>
      </c>
      <c r="G282" s="399" t="s">
        <v>1237</v>
      </c>
      <c r="H282" s="399" t="s">
        <v>1237</v>
      </c>
      <c r="I282" s="399" t="s">
        <v>1237</v>
      </c>
      <c r="J282" s="399" t="s">
        <v>2337</v>
      </c>
      <c r="K282" s="788">
        <v>44713</v>
      </c>
      <c r="L282" s="399">
        <v>0</v>
      </c>
      <c r="M282" s="399">
        <v>0</v>
      </c>
      <c r="N282" s="399">
        <v>5.58</v>
      </c>
      <c r="O282" s="399">
        <v>5.58</v>
      </c>
      <c r="P282" s="399">
        <v>5.58</v>
      </c>
      <c r="Q282" s="399">
        <v>5.58</v>
      </c>
      <c r="R282" s="399"/>
      <c r="S282" s="399">
        <v>636.83000000000004</v>
      </c>
      <c r="T282" s="399">
        <v>119.97</v>
      </c>
      <c r="U282" s="399"/>
      <c r="V282" s="399">
        <v>4222.9440000000004</v>
      </c>
      <c r="W282" s="399">
        <v>4222.9440000000004</v>
      </c>
      <c r="X282" s="399">
        <v>3713.6574000000001</v>
      </c>
      <c r="Y282" s="399">
        <v>0</v>
      </c>
      <c r="Z282" s="399">
        <v>0</v>
      </c>
      <c r="AA282" s="399">
        <v>0</v>
      </c>
      <c r="AB282" s="399">
        <v>0</v>
      </c>
      <c r="AC282" s="399">
        <v>0</v>
      </c>
      <c r="AD282" s="399">
        <v>600.06879627570129</v>
      </c>
      <c r="AE282" s="399">
        <v>2842.2452535441657</v>
      </c>
      <c r="AF282" s="399">
        <v>669.45404156029178</v>
      </c>
      <c r="AG282" s="399">
        <v>0</v>
      </c>
      <c r="AH282" s="399">
        <v>0</v>
      </c>
      <c r="AI282" s="399">
        <v>0</v>
      </c>
      <c r="AJ282" s="399">
        <v>0</v>
      </c>
      <c r="AK282" s="399">
        <v>0</v>
      </c>
      <c r="AL282" s="399">
        <v>0</v>
      </c>
      <c r="AM282" s="399"/>
      <c r="AN282" s="399">
        <v>12.004247031734224</v>
      </c>
      <c r="AO282" s="399">
        <v>0</v>
      </c>
      <c r="AP282" s="399">
        <v>0</v>
      </c>
      <c r="AQ282" s="399">
        <v>0</v>
      </c>
      <c r="AR282" s="399">
        <v>0</v>
      </c>
      <c r="AS282" s="399">
        <v>0</v>
      </c>
      <c r="AT282" s="399">
        <v>0</v>
      </c>
      <c r="AU282" s="399">
        <v>0</v>
      </c>
      <c r="AV282" s="399">
        <v>0</v>
      </c>
      <c r="AW282" s="399">
        <v>0</v>
      </c>
      <c r="AX282" s="399">
        <v>0</v>
      </c>
      <c r="AY282" s="399">
        <v>0</v>
      </c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>
        <v>0</v>
      </c>
      <c r="BG282" s="399">
        <v>99.170067365886098</v>
      </c>
      <c r="BH282" s="399">
        <v>0</v>
      </c>
      <c r="BI282" s="399">
        <v>0</v>
      </c>
      <c r="BJ282" s="399">
        <v>0</v>
      </c>
      <c r="BK282" s="399">
        <v>176.7</v>
      </c>
      <c r="BL282" s="399">
        <v>14</v>
      </c>
      <c r="BM282" s="399"/>
      <c r="BN282" s="399"/>
      <c r="BO282" s="399"/>
      <c r="BP282" s="399"/>
      <c r="BQ282" s="399"/>
      <c r="BR282" s="399"/>
      <c r="BS282" s="399"/>
      <c r="BT282" s="399">
        <v>2413.8521999999998</v>
      </c>
      <c r="BU282" s="399"/>
      <c r="BV282" s="399">
        <v>768.62410892617788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1299.8052</v>
      </c>
      <c r="CJ282" s="399">
        <v>-178.25519999999983</v>
      </c>
      <c r="CK282" s="399"/>
      <c r="CL282" s="399"/>
      <c r="CM282" s="399"/>
      <c r="CN282" s="399"/>
      <c r="CO282" s="399">
        <v>-509.28660000000053</v>
      </c>
      <c r="CP282" s="399">
        <v>0</v>
      </c>
      <c r="CQ282" s="399">
        <v>30</v>
      </c>
      <c r="CR282" s="399">
        <v>-4.2031077658368758</v>
      </c>
      <c r="CS282" s="399">
        <v>0</v>
      </c>
      <c r="CT282" s="399">
        <v>0</v>
      </c>
      <c r="CU282" s="399">
        <v>0</v>
      </c>
      <c r="CV282" s="399">
        <v>0</v>
      </c>
      <c r="CW282" s="399">
        <v>0</v>
      </c>
      <c r="CX282" s="399">
        <v>0</v>
      </c>
      <c r="CY282" s="399">
        <v>0</v>
      </c>
      <c r="CZ282" s="399">
        <v>-3.2104760019819878</v>
      </c>
      <c r="DA282" s="399">
        <v>0</v>
      </c>
      <c r="DB282" s="399">
        <v>0</v>
      </c>
      <c r="DC282" s="399">
        <v>0</v>
      </c>
      <c r="DD282" s="399">
        <v>0</v>
      </c>
      <c r="DE282" s="399">
        <v>0</v>
      </c>
      <c r="DF282" s="399">
        <v>0</v>
      </c>
      <c r="DG282" s="399">
        <v>0</v>
      </c>
      <c r="DH282" s="399">
        <v>0</v>
      </c>
      <c r="DI282" s="399">
        <v>0</v>
      </c>
      <c r="DJ282" s="399"/>
      <c r="DK282" s="399">
        <v>0</v>
      </c>
      <c r="DL282" s="399">
        <v>0</v>
      </c>
      <c r="DM282" s="399">
        <v>0</v>
      </c>
      <c r="DN282" s="399">
        <v>0</v>
      </c>
      <c r="DO282" s="399">
        <v>0</v>
      </c>
      <c r="DP282" s="399">
        <v>-0.9926317638548845</v>
      </c>
      <c r="DQ282" s="399">
        <v>0</v>
      </c>
      <c r="DR282" s="399">
        <v>0</v>
      </c>
      <c r="DS282" s="399"/>
      <c r="DT282" s="399"/>
      <c r="DU282" s="399"/>
      <c r="DV282" s="399">
        <v>2842.2452535441657</v>
      </c>
      <c r="DW282" s="399">
        <v>0</v>
      </c>
      <c r="DX282" s="399">
        <v>0</v>
      </c>
      <c r="DY282" s="399">
        <v>-509.28660000000036</v>
      </c>
      <c r="DZ282" s="399">
        <v>0</v>
      </c>
      <c r="EA282" s="399">
        <v>0</v>
      </c>
      <c r="EB282" s="399">
        <v>0</v>
      </c>
      <c r="EC282" s="399">
        <v>-505.04983670317461</v>
      </c>
      <c r="ED282" s="399">
        <v>0</v>
      </c>
      <c r="EE282" s="399">
        <v>0</v>
      </c>
      <c r="EF282" s="399">
        <v>0</v>
      </c>
      <c r="EG282" s="399">
        <v>0</v>
      </c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>
        <v>0</v>
      </c>
      <c r="EN282" s="399">
        <v>0</v>
      </c>
      <c r="EO282" s="399">
        <v>0</v>
      </c>
      <c r="EP282" s="399">
        <v>0</v>
      </c>
      <c r="EQ282" s="399">
        <v>0</v>
      </c>
      <c r="ER282" s="399">
        <v>0</v>
      </c>
      <c r="ES282" s="399">
        <v>0</v>
      </c>
      <c r="ET282" s="399">
        <v>0</v>
      </c>
      <c r="EU282" s="399">
        <v>0</v>
      </c>
      <c r="EV282" s="399">
        <v>229</v>
      </c>
      <c r="EW282" s="399">
        <v>0</v>
      </c>
      <c r="EX282" s="399">
        <v>0</v>
      </c>
      <c r="EY282" s="399">
        <v>0</v>
      </c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281</v>
      </c>
      <c r="B283" s="399" t="s">
        <v>954</v>
      </c>
      <c r="C283" s="399" t="s">
        <v>2336</v>
      </c>
      <c r="D283" s="399" t="s">
        <v>1819</v>
      </c>
      <c r="E283" s="399" t="s">
        <v>887</v>
      </c>
      <c r="F283" s="399" t="s">
        <v>2341</v>
      </c>
      <c r="G283" s="399" t="s">
        <v>1237</v>
      </c>
      <c r="H283" s="399" t="s">
        <v>1237</v>
      </c>
      <c r="I283" s="399" t="s">
        <v>1237</v>
      </c>
      <c r="J283" s="399" t="s">
        <v>2337</v>
      </c>
      <c r="K283" s="788">
        <v>44713</v>
      </c>
      <c r="L283" s="399">
        <v>0</v>
      </c>
      <c r="M283" s="399">
        <v>0</v>
      </c>
      <c r="N283" s="399">
        <v>11.378</v>
      </c>
      <c r="O283" s="399">
        <v>11.378</v>
      </c>
      <c r="P283" s="399">
        <v>11.378</v>
      </c>
      <c r="Q283" s="399">
        <v>11.378</v>
      </c>
      <c r="R283" s="399"/>
      <c r="S283" s="399">
        <v>636.83000000000004</v>
      </c>
      <c r="T283" s="399">
        <v>119.97</v>
      </c>
      <c r="U283" s="399"/>
      <c r="V283" s="399">
        <v>8610.8704000000016</v>
      </c>
      <c r="W283" s="399">
        <v>8610.8704000000016</v>
      </c>
      <c r="X283" s="399">
        <v>7572.4003399999992</v>
      </c>
      <c r="Y283" s="399">
        <v>0</v>
      </c>
      <c r="Z283" s="399">
        <v>0</v>
      </c>
      <c r="AA283" s="399">
        <v>0</v>
      </c>
      <c r="AB283" s="399">
        <v>0</v>
      </c>
      <c r="AC283" s="399">
        <v>0</v>
      </c>
      <c r="AD283" s="399">
        <v>1223.5811405062598</v>
      </c>
      <c r="AE283" s="399">
        <v>5795.5316298970465</v>
      </c>
      <c r="AF283" s="399">
        <v>1365.062380801613</v>
      </c>
      <c r="AG283" s="399">
        <v>0</v>
      </c>
      <c r="AH283" s="399">
        <v>0</v>
      </c>
      <c r="AI283" s="399">
        <v>0</v>
      </c>
      <c r="AJ283" s="399">
        <v>0</v>
      </c>
      <c r="AK283" s="399">
        <v>0</v>
      </c>
      <c r="AL283" s="399">
        <v>0</v>
      </c>
      <c r="AM283" s="399"/>
      <c r="AN283" s="399">
        <v>24.477477191231543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202.21452087617419</v>
      </c>
      <c r="BH283" s="399">
        <v>0</v>
      </c>
      <c r="BI283" s="399">
        <v>0</v>
      </c>
      <c r="BJ283" s="399">
        <v>0</v>
      </c>
      <c r="BK283" s="399">
        <v>619.16999999999996</v>
      </c>
      <c r="BL283" s="399">
        <v>27</v>
      </c>
      <c r="BM283" s="399"/>
      <c r="BN283" s="399"/>
      <c r="BO283" s="399"/>
      <c r="BP283" s="399"/>
      <c r="BQ283" s="399"/>
      <c r="BR283" s="399"/>
      <c r="BS283" s="399"/>
      <c r="BT283" s="399">
        <v>3028.9373799999998</v>
      </c>
      <c r="BU283" s="399"/>
      <c r="BV283" s="399">
        <v>1567.2769016777872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4544.2615999999998</v>
      </c>
      <c r="CJ283" s="399">
        <v>-622.29064000000108</v>
      </c>
      <c r="CK283" s="399"/>
      <c r="CL283" s="399"/>
      <c r="CM283" s="399"/>
      <c r="CN283" s="399"/>
      <c r="CO283" s="399">
        <v>-1038.470060000001</v>
      </c>
      <c r="CP283" s="399">
        <v>0</v>
      </c>
      <c r="CQ283" s="399">
        <v>30</v>
      </c>
      <c r="CR283" s="399">
        <v>-8.5704229676866817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-6.5463792026077954</v>
      </c>
      <c r="DA283" s="399">
        <v>0</v>
      </c>
      <c r="DB283" s="399">
        <v>0</v>
      </c>
      <c r="DC283" s="399">
        <v>0</v>
      </c>
      <c r="DD283" s="399">
        <v>0</v>
      </c>
      <c r="DE283" s="399">
        <v>0</v>
      </c>
      <c r="DF283" s="399">
        <v>0</v>
      </c>
      <c r="DG283" s="399">
        <v>0</v>
      </c>
      <c r="DH283" s="399">
        <v>0</v>
      </c>
      <c r="DI283" s="399">
        <v>0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0</v>
      </c>
      <c r="DP283" s="399">
        <v>-2.0240437650790142</v>
      </c>
      <c r="DQ283" s="399">
        <v>0</v>
      </c>
      <c r="DR283" s="399">
        <v>0</v>
      </c>
      <c r="DS283" s="399"/>
      <c r="DT283" s="399"/>
      <c r="DU283" s="399"/>
      <c r="DV283" s="399">
        <v>5795.5316298970465</v>
      </c>
      <c r="DW283" s="399">
        <v>0</v>
      </c>
      <c r="DX283" s="399">
        <v>0</v>
      </c>
      <c r="DY283" s="399">
        <v>-1038.4700600000015</v>
      </c>
      <c r="DZ283" s="399">
        <v>0</v>
      </c>
      <c r="EA283" s="399">
        <v>0</v>
      </c>
      <c r="EB283" s="399">
        <v>0</v>
      </c>
      <c r="EC283" s="399">
        <v>-1029.8310111126739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229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282</v>
      </c>
      <c r="B284" s="399" t="s">
        <v>954</v>
      </c>
      <c r="C284" s="399" t="s">
        <v>2336</v>
      </c>
      <c r="D284" s="399" t="s">
        <v>1819</v>
      </c>
      <c r="E284" s="399" t="s">
        <v>887</v>
      </c>
      <c r="F284" s="399" t="s">
        <v>2342</v>
      </c>
      <c r="G284" s="399" t="s">
        <v>1237</v>
      </c>
      <c r="H284" s="399" t="s">
        <v>1237</v>
      </c>
      <c r="I284" s="399" t="s">
        <v>1237</v>
      </c>
      <c r="J284" s="399" t="s">
        <v>2337</v>
      </c>
      <c r="K284" s="788">
        <v>44713</v>
      </c>
      <c r="L284" s="399">
        <v>0</v>
      </c>
      <c r="M284" s="399">
        <v>0</v>
      </c>
      <c r="N284" s="399">
        <v>12.487</v>
      </c>
      <c r="O284" s="399">
        <v>12.487</v>
      </c>
      <c r="P284" s="399">
        <v>12.487</v>
      </c>
      <c r="Q284" s="399">
        <v>12.487</v>
      </c>
      <c r="R284" s="399"/>
      <c r="S284" s="399">
        <v>636.83000000000004</v>
      </c>
      <c r="T284" s="399">
        <v>119.97</v>
      </c>
      <c r="U284" s="399"/>
      <c r="V284" s="399">
        <v>9450.1616000000013</v>
      </c>
      <c r="W284" s="399">
        <v>9450.1616000000013</v>
      </c>
      <c r="X284" s="399">
        <v>8310.473109999999</v>
      </c>
      <c r="Y284" s="399">
        <v>0</v>
      </c>
      <c r="Z284" s="399">
        <v>0</v>
      </c>
      <c r="AA284" s="399">
        <v>0</v>
      </c>
      <c r="AB284" s="399">
        <v>0</v>
      </c>
      <c r="AC284" s="399">
        <v>0</v>
      </c>
      <c r="AD284" s="399">
        <v>1342.8421252857852</v>
      </c>
      <c r="AE284" s="399">
        <v>6360.4151399652328</v>
      </c>
      <c r="AF284" s="399">
        <v>1498.1133722156567</v>
      </c>
      <c r="AG284" s="399">
        <v>0</v>
      </c>
      <c r="AH284" s="399">
        <v>0</v>
      </c>
      <c r="AI284" s="399">
        <v>0</v>
      </c>
      <c r="AJ284" s="399">
        <v>0</v>
      </c>
      <c r="AK284" s="399">
        <v>0</v>
      </c>
      <c r="AL284" s="399">
        <v>0</v>
      </c>
      <c r="AM284" s="399"/>
      <c r="AN284" s="399">
        <v>26.863267506319939</v>
      </c>
      <c r="AO284" s="399">
        <v>0</v>
      </c>
      <c r="AP284" s="399">
        <v>0</v>
      </c>
      <c r="AQ284" s="399">
        <v>0</v>
      </c>
      <c r="AR284" s="399">
        <v>0</v>
      </c>
      <c r="AS284" s="399">
        <v>0</v>
      </c>
      <c r="AT284" s="399">
        <v>0</v>
      </c>
      <c r="AU284" s="399">
        <v>0</v>
      </c>
      <c r="AV284" s="399">
        <v>0</v>
      </c>
      <c r="AW284" s="399">
        <v>0</v>
      </c>
      <c r="AX284" s="399">
        <v>0</v>
      </c>
      <c r="AY284" s="399">
        <v>0</v>
      </c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>
        <v>0</v>
      </c>
      <c r="BG284" s="399">
        <v>221.92412745480638</v>
      </c>
      <c r="BH284" s="399">
        <v>0</v>
      </c>
      <c r="BI284" s="399">
        <v>0</v>
      </c>
      <c r="BJ284" s="399">
        <v>0</v>
      </c>
      <c r="BK284" s="399">
        <v>1747.89</v>
      </c>
      <c r="BL284" s="399">
        <v>79</v>
      </c>
      <c r="BM284" s="399"/>
      <c r="BN284" s="399"/>
      <c r="BO284" s="399"/>
      <c r="BP284" s="399"/>
      <c r="BQ284" s="399"/>
      <c r="BR284" s="399"/>
      <c r="BS284" s="399"/>
      <c r="BT284" s="399">
        <v>830.88497999999936</v>
      </c>
      <c r="BU284" s="399"/>
      <c r="BV284" s="399">
        <v>1720.0374996704631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7481.3850999999995</v>
      </c>
      <c r="CJ284" s="399">
        <v>-1023.7903400000014</v>
      </c>
      <c r="CK284" s="399"/>
      <c r="CL284" s="399"/>
      <c r="CM284" s="399"/>
      <c r="CN284" s="399"/>
      <c r="CO284" s="399">
        <v>-1139.6884900000011</v>
      </c>
      <c r="CP284" s="399">
        <v>0</v>
      </c>
      <c r="CQ284" s="399">
        <v>30</v>
      </c>
      <c r="CR284" s="399">
        <v>-9.4057718050189578</v>
      </c>
      <c r="CS284" s="399">
        <v>0</v>
      </c>
      <c r="CT284" s="399">
        <v>0</v>
      </c>
      <c r="CU284" s="399">
        <v>0</v>
      </c>
      <c r="CV284" s="399">
        <v>0</v>
      </c>
      <c r="CW284" s="399">
        <v>0</v>
      </c>
      <c r="CX284" s="399">
        <v>0</v>
      </c>
      <c r="CY284" s="399">
        <v>0</v>
      </c>
      <c r="CZ284" s="399">
        <v>-7.1844469241484603</v>
      </c>
      <c r="DA284" s="399">
        <v>0</v>
      </c>
      <c r="DB284" s="399">
        <v>0</v>
      </c>
      <c r="DC284" s="399">
        <v>0</v>
      </c>
      <c r="DD284" s="399">
        <v>0</v>
      </c>
      <c r="DE284" s="399">
        <v>0</v>
      </c>
      <c r="DF284" s="399">
        <v>0</v>
      </c>
      <c r="DG284" s="399">
        <v>0</v>
      </c>
      <c r="DH284" s="399">
        <v>0</v>
      </c>
      <c r="DI284" s="399">
        <v>0</v>
      </c>
      <c r="DJ284" s="399"/>
      <c r="DK284" s="399">
        <v>0</v>
      </c>
      <c r="DL284" s="399">
        <v>0</v>
      </c>
      <c r="DM284" s="399">
        <v>0</v>
      </c>
      <c r="DN284" s="399">
        <v>0</v>
      </c>
      <c r="DO284" s="399">
        <v>0</v>
      </c>
      <c r="DP284" s="399">
        <v>-2.2213248808702417</v>
      </c>
      <c r="DQ284" s="399">
        <v>0</v>
      </c>
      <c r="DR284" s="399">
        <v>0</v>
      </c>
      <c r="DS284" s="399"/>
      <c r="DT284" s="399"/>
      <c r="DU284" s="399"/>
      <c r="DV284" s="399">
        <v>6360.4151399652328</v>
      </c>
      <c r="DW284" s="399">
        <v>0</v>
      </c>
      <c r="DX284" s="399">
        <v>0</v>
      </c>
      <c r="DY284" s="399">
        <v>-1139.6884900000014</v>
      </c>
      <c r="DZ284" s="399">
        <v>0</v>
      </c>
      <c r="EA284" s="399">
        <v>0</v>
      </c>
      <c r="EB284" s="399">
        <v>0</v>
      </c>
      <c r="EC284" s="399">
        <v>-1130.2074033893441</v>
      </c>
      <c r="ED284" s="399">
        <v>0</v>
      </c>
      <c r="EE284" s="399">
        <v>0</v>
      </c>
      <c r="EF284" s="399">
        <v>0</v>
      </c>
      <c r="EG284" s="399">
        <v>0</v>
      </c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>
        <v>0</v>
      </c>
      <c r="EN284" s="399">
        <v>0</v>
      </c>
      <c r="EO284" s="399">
        <v>0</v>
      </c>
      <c r="EP284" s="399">
        <v>0</v>
      </c>
      <c r="EQ284" s="399">
        <v>0</v>
      </c>
      <c r="ER284" s="399">
        <v>0</v>
      </c>
      <c r="ES284" s="399">
        <v>0</v>
      </c>
      <c r="ET284" s="399">
        <v>0</v>
      </c>
      <c r="EU284" s="399">
        <v>0</v>
      </c>
      <c r="EV284" s="399">
        <v>229</v>
      </c>
      <c r="EW284" s="399">
        <v>0</v>
      </c>
      <c r="EX284" s="399">
        <v>0</v>
      </c>
      <c r="EY284" s="399">
        <v>0</v>
      </c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283</v>
      </c>
      <c r="B285" s="399" t="s">
        <v>954</v>
      </c>
      <c r="C285" s="399" t="s">
        <v>2336</v>
      </c>
      <c r="D285" s="399" t="s">
        <v>1819</v>
      </c>
      <c r="E285" s="399" t="s">
        <v>887</v>
      </c>
      <c r="F285" s="399" t="s">
        <v>2343</v>
      </c>
      <c r="G285" s="399" t="s">
        <v>1237</v>
      </c>
      <c r="H285" s="399" t="s">
        <v>1237</v>
      </c>
      <c r="I285" s="399" t="s">
        <v>1237</v>
      </c>
      <c r="J285" s="399" t="s">
        <v>2337</v>
      </c>
      <c r="K285" s="788">
        <v>44713</v>
      </c>
      <c r="L285" s="399">
        <v>0</v>
      </c>
      <c r="M285" s="399">
        <v>0</v>
      </c>
      <c r="N285" s="399">
        <v>6.2949999999999999</v>
      </c>
      <c r="O285" s="399">
        <v>6.2949999999999999</v>
      </c>
      <c r="P285" s="399">
        <v>6.2949999999999999</v>
      </c>
      <c r="Q285" s="399">
        <v>6.2949999999999999</v>
      </c>
      <c r="R285" s="399"/>
      <c r="S285" s="399">
        <v>636.83000000000004</v>
      </c>
      <c r="T285" s="399">
        <v>119.97</v>
      </c>
      <c r="U285" s="399"/>
      <c r="V285" s="399">
        <v>4764.0560000000005</v>
      </c>
      <c r="W285" s="399">
        <v>4764.0560000000005</v>
      </c>
      <c r="X285" s="399">
        <v>4189.5113499999998</v>
      </c>
      <c r="Y285" s="399">
        <v>0</v>
      </c>
      <c r="Z285" s="399">
        <v>0</v>
      </c>
      <c r="AA285" s="399">
        <v>0</v>
      </c>
      <c r="AB285" s="399">
        <v>0</v>
      </c>
      <c r="AC285" s="399">
        <v>0</v>
      </c>
      <c r="AD285" s="399">
        <v>676.95933199920057</v>
      </c>
      <c r="AE285" s="399">
        <v>3206.4397618388034</v>
      </c>
      <c r="AF285" s="399">
        <v>755.235339000365</v>
      </c>
      <c r="AG285" s="399">
        <v>0</v>
      </c>
      <c r="AH285" s="399">
        <v>0</v>
      </c>
      <c r="AI285" s="399">
        <v>0</v>
      </c>
      <c r="AJ285" s="399">
        <v>0</v>
      </c>
      <c r="AK285" s="399">
        <v>0</v>
      </c>
      <c r="AL285" s="399">
        <v>0</v>
      </c>
      <c r="AM285" s="399"/>
      <c r="AN285" s="399">
        <v>13.542425638847122</v>
      </c>
      <c r="AO285" s="399">
        <v>0</v>
      </c>
      <c r="AP285" s="399">
        <v>0</v>
      </c>
      <c r="AQ285" s="399">
        <v>0</v>
      </c>
      <c r="AR285" s="399">
        <v>0</v>
      </c>
      <c r="AS285" s="399">
        <v>0</v>
      </c>
      <c r="AT285" s="399">
        <v>0</v>
      </c>
      <c r="AU285" s="399">
        <v>0</v>
      </c>
      <c r="AV285" s="399">
        <v>0</v>
      </c>
      <c r="AW285" s="399">
        <v>0</v>
      </c>
      <c r="AX285" s="399">
        <v>0</v>
      </c>
      <c r="AY285" s="399">
        <v>0</v>
      </c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>
        <v>0</v>
      </c>
      <c r="BG285" s="399">
        <v>111.87734302298441</v>
      </c>
      <c r="BH285" s="399">
        <v>0</v>
      </c>
      <c r="BI285" s="399">
        <v>0</v>
      </c>
      <c r="BJ285" s="399">
        <v>0</v>
      </c>
      <c r="BK285" s="399">
        <v>1396.2</v>
      </c>
      <c r="BL285" s="399">
        <v>65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>
        <v>867.11268202334941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4192.838999999999</v>
      </c>
      <c r="CJ285" s="399">
        <v>-571.24700000000212</v>
      </c>
      <c r="CK285" s="399"/>
      <c r="CL285" s="399"/>
      <c r="CM285" s="399"/>
      <c r="CN285" s="399"/>
      <c r="CO285" s="399">
        <v>-574.54465000000062</v>
      </c>
      <c r="CP285" s="399">
        <v>0</v>
      </c>
      <c r="CQ285" s="399">
        <v>30</v>
      </c>
      <c r="CR285" s="399">
        <v>-4.7416780261546592</v>
      </c>
      <c r="CS285" s="399">
        <v>0</v>
      </c>
      <c r="CT285" s="399">
        <v>0</v>
      </c>
      <c r="CU285" s="399">
        <v>0</v>
      </c>
      <c r="CV285" s="399">
        <v>0</v>
      </c>
      <c r="CW285" s="399">
        <v>0</v>
      </c>
      <c r="CX285" s="399">
        <v>0</v>
      </c>
      <c r="CY285" s="399">
        <v>0</v>
      </c>
      <c r="CZ285" s="399">
        <v>-3.6218541993684994</v>
      </c>
      <c r="DA285" s="399">
        <v>0</v>
      </c>
      <c r="DB285" s="399">
        <v>0</v>
      </c>
      <c r="DC285" s="399">
        <v>0</v>
      </c>
      <c r="DD285" s="399">
        <v>0</v>
      </c>
      <c r="DE285" s="399">
        <v>0</v>
      </c>
      <c r="DF285" s="399">
        <v>0</v>
      </c>
      <c r="DG285" s="399">
        <v>0</v>
      </c>
      <c r="DH285" s="399">
        <v>0</v>
      </c>
      <c r="DI285" s="399">
        <v>0</v>
      </c>
      <c r="DJ285" s="399"/>
      <c r="DK285" s="399">
        <v>0</v>
      </c>
      <c r="DL285" s="399">
        <v>0</v>
      </c>
      <c r="DM285" s="399">
        <v>0</v>
      </c>
      <c r="DN285" s="399">
        <v>0</v>
      </c>
      <c r="DO285" s="399">
        <v>0</v>
      </c>
      <c r="DP285" s="399">
        <v>-1.1198238267861118</v>
      </c>
      <c r="DQ285" s="399">
        <v>0</v>
      </c>
      <c r="DR285" s="399">
        <v>0</v>
      </c>
      <c r="DS285" s="399"/>
      <c r="DT285" s="399"/>
      <c r="DU285" s="399"/>
      <c r="DV285" s="399">
        <v>3206.4397618388034</v>
      </c>
      <c r="DW285" s="399">
        <v>0</v>
      </c>
      <c r="DX285" s="399">
        <v>0</v>
      </c>
      <c r="DY285" s="399">
        <v>-574.54465000000073</v>
      </c>
      <c r="DZ285" s="399">
        <v>0</v>
      </c>
      <c r="EA285" s="399">
        <v>0</v>
      </c>
      <c r="EB285" s="399">
        <v>0</v>
      </c>
      <c r="EC285" s="399">
        <v>-569.76500395098265</v>
      </c>
      <c r="ED285" s="399">
        <v>0</v>
      </c>
      <c r="EE285" s="399">
        <v>0</v>
      </c>
      <c r="EF285" s="399">
        <v>0</v>
      </c>
      <c r="EG285" s="399">
        <v>0</v>
      </c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>
        <v>0</v>
      </c>
      <c r="EN285" s="399">
        <v>0</v>
      </c>
      <c r="EO285" s="399">
        <v>0</v>
      </c>
      <c r="EP285" s="399">
        <v>0</v>
      </c>
      <c r="EQ285" s="399">
        <v>0</v>
      </c>
      <c r="ER285" s="399">
        <v>0</v>
      </c>
      <c r="ES285" s="399">
        <v>0</v>
      </c>
      <c r="ET285" s="399">
        <v>0</v>
      </c>
      <c r="EU285" s="399">
        <v>0</v>
      </c>
      <c r="EV285" s="399">
        <v>229</v>
      </c>
      <c r="EW285" s="399">
        <v>0</v>
      </c>
      <c r="EX285" s="399">
        <v>0</v>
      </c>
      <c r="EY285" s="399">
        <v>0</v>
      </c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284</v>
      </c>
      <c r="B286" s="399" t="s">
        <v>954</v>
      </c>
      <c r="C286" s="399" t="s">
        <v>2336</v>
      </c>
      <c r="D286" s="399" t="s">
        <v>1822</v>
      </c>
      <c r="E286" s="399" t="s">
        <v>888</v>
      </c>
      <c r="F286" s="399" t="s">
        <v>1237</v>
      </c>
      <c r="G286" s="399" t="s">
        <v>1237</v>
      </c>
      <c r="H286" s="399" t="s">
        <v>1237</v>
      </c>
      <c r="I286" s="399" t="s">
        <v>1237</v>
      </c>
      <c r="J286" s="399" t="s">
        <v>2337</v>
      </c>
      <c r="K286" s="788">
        <v>44713</v>
      </c>
      <c r="L286" s="399">
        <v>0</v>
      </c>
      <c r="M286" s="399">
        <v>0</v>
      </c>
      <c r="N286" s="399">
        <v>151.81399999999999</v>
      </c>
      <c r="O286" s="399">
        <v>151.81399999999999</v>
      </c>
      <c r="P286" s="399">
        <v>151.81399999999999</v>
      </c>
      <c r="Q286" s="399">
        <v>151.81399999999999</v>
      </c>
      <c r="R286" s="399"/>
      <c r="S286" s="399">
        <v>707.13</v>
      </c>
      <c r="T286" s="399">
        <v>119.97</v>
      </c>
      <c r="U286" s="399"/>
      <c r="V286" s="399">
        <v>125565.35939999999</v>
      </c>
      <c r="W286" s="399">
        <v>125565.35939999999</v>
      </c>
      <c r="X286" s="399">
        <v>110676.96041999999</v>
      </c>
      <c r="Y286" s="399">
        <v>0</v>
      </c>
      <c r="Z286" s="399">
        <v>9244.6952482730285</v>
      </c>
      <c r="AA286" s="399">
        <v>0</v>
      </c>
      <c r="AB286" s="399">
        <v>0</v>
      </c>
      <c r="AC286" s="399">
        <v>0</v>
      </c>
      <c r="AD286" s="399">
        <v>16325.957748709554</v>
      </c>
      <c r="AE286" s="399">
        <v>77328.426688450534</v>
      </c>
      <c r="AF286" s="399">
        <v>18213.70893645773</v>
      </c>
      <c r="AG286" s="399">
        <v>0</v>
      </c>
      <c r="AH286" s="399">
        <v>0</v>
      </c>
      <c r="AI286" s="399">
        <v>0</v>
      </c>
      <c r="AJ286" s="399">
        <v>0</v>
      </c>
      <c r="AK286" s="399">
        <v>0</v>
      </c>
      <c r="AL286" s="399">
        <v>1428.6040361271423</v>
      </c>
      <c r="AM286" s="399"/>
      <c r="AN286" s="399">
        <v>326.59726861571676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2698.1011840653459</v>
      </c>
      <c r="BH286" s="399">
        <v>0</v>
      </c>
      <c r="BI286" s="399">
        <v>0</v>
      </c>
      <c r="BJ286" s="399">
        <v>0</v>
      </c>
      <c r="BK286" s="399">
        <v>36892.050000000003</v>
      </c>
      <c r="BL286" s="399">
        <v>67</v>
      </c>
      <c r="BM286" s="399"/>
      <c r="BN286" s="399"/>
      <c r="BO286" s="399"/>
      <c r="BP286" s="399"/>
      <c r="BQ286" s="399"/>
      <c r="BR286" s="399"/>
      <c r="BS286" s="399"/>
      <c r="BT286" s="399"/>
      <c r="BU286" s="399"/>
      <c r="BV286" s="399">
        <v>20911.810120523074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110674.04429999998</v>
      </c>
      <c r="CJ286" s="399">
        <v>-14891.345099999991</v>
      </c>
      <c r="CK286" s="399"/>
      <c r="CL286" s="399"/>
      <c r="CM286" s="399"/>
      <c r="CN286" s="399"/>
      <c r="CO286" s="399">
        <v>-14888.398980000007</v>
      </c>
      <c r="CP286" s="399">
        <v>0</v>
      </c>
      <c r="CQ286" s="399">
        <v>30</v>
      </c>
      <c r="CR286" s="399">
        <v>-1147.4593666947185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-87.346810710554564</v>
      </c>
      <c r="DA286" s="399">
        <v>0</v>
      </c>
      <c r="DB286" s="399">
        <v>0</v>
      </c>
      <c r="DC286" s="399">
        <v>0</v>
      </c>
      <c r="DD286" s="399">
        <v>0</v>
      </c>
      <c r="DE286" s="399">
        <v>0</v>
      </c>
      <c r="DF286" s="399">
        <v>0</v>
      </c>
      <c r="DG286" s="399">
        <v>0</v>
      </c>
      <c r="DH286" s="399">
        <v>0</v>
      </c>
      <c r="DI286" s="399">
        <v>-911.36299839245476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-121.74321375696809</v>
      </c>
      <c r="DP286" s="399">
        <v>-27.00634383474295</v>
      </c>
      <c r="DQ286" s="399">
        <v>0</v>
      </c>
      <c r="DR286" s="399">
        <v>0</v>
      </c>
      <c r="DS286" s="399"/>
      <c r="DT286" s="399"/>
      <c r="DU286" s="399"/>
      <c r="DV286" s="399">
        <v>77328.426688450534</v>
      </c>
      <c r="DW286" s="399">
        <v>0</v>
      </c>
      <c r="DX286" s="399">
        <v>0</v>
      </c>
      <c r="DY286" s="399">
        <v>-14888.398980000013</v>
      </c>
      <c r="DZ286" s="399">
        <v>0</v>
      </c>
      <c r="EA286" s="399">
        <v>0</v>
      </c>
      <c r="EB286" s="399">
        <v>0</v>
      </c>
      <c r="EC286" s="399">
        <v>-13740.794965816443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229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285</v>
      </c>
      <c r="B287" s="399" t="s">
        <v>2339</v>
      </c>
      <c r="C287" s="399" t="s">
        <v>2336</v>
      </c>
      <c r="D287" s="399" t="s">
        <v>1822</v>
      </c>
      <c r="E287" s="399" t="s">
        <v>888</v>
      </c>
      <c r="F287" s="399" t="s">
        <v>1237</v>
      </c>
      <c r="G287" s="399" t="s">
        <v>1237</v>
      </c>
      <c r="H287" s="399" t="s">
        <v>1237</v>
      </c>
      <c r="I287" s="399" t="s">
        <v>1237</v>
      </c>
      <c r="J287" s="399" t="s">
        <v>2337</v>
      </c>
      <c r="K287" s="788">
        <v>44713</v>
      </c>
      <c r="L287" s="399">
        <v>0</v>
      </c>
      <c r="M287" s="399">
        <v>0</v>
      </c>
      <c r="N287" s="399">
        <v>3.6019999999999999</v>
      </c>
      <c r="O287" s="399">
        <v>3.6019999999999999</v>
      </c>
      <c r="P287" s="399">
        <v>3.6019999999999999</v>
      </c>
      <c r="Q287" s="399">
        <v>3.6019999999999999</v>
      </c>
      <c r="R287" s="399"/>
      <c r="S287" s="399">
        <v>707.13</v>
      </c>
      <c r="T287" s="399">
        <v>119.97</v>
      </c>
      <c r="U287" s="399"/>
      <c r="V287" s="399">
        <v>2979.2141999999994</v>
      </c>
      <c r="W287" s="399">
        <v>2979.2141999999994</v>
      </c>
      <c r="X287" s="399">
        <v>2625.9660599999997</v>
      </c>
      <c r="Y287" s="399">
        <v>0</v>
      </c>
      <c r="Z287" s="399">
        <v>219.34335624039579</v>
      </c>
      <c r="AA287" s="399">
        <v>0</v>
      </c>
      <c r="AB287" s="399">
        <v>0</v>
      </c>
      <c r="AC287" s="399">
        <v>0</v>
      </c>
      <c r="AD287" s="399">
        <v>387.35623730915341</v>
      </c>
      <c r="AE287" s="399">
        <v>1834.7253410871119</v>
      </c>
      <c r="AF287" s="399">
        <v>432.14578094985143</v>
      </c>
      <c r="AG287" s="399">
        <v>0</v>
      </c>
      <c r="AH287" s="399">
        <v>0</v>
      </c>
      <c r="AI287" s="399">
        <v>0</v>
      </c>
      <c r="AJ287" s="399">
        <v>0</v>
      </c>
      <c r="AK287" s="399">
        <v>0</v>
      </c>
      <c r="AL287" s="399">
        <v>33.895633723701152</v>
      </c>
      <c r="AM287" s="399"/>
      <c r="AN287" s="399">
        <v>7.748978101847074</v>
      </c>
      <c r="AO287" s="399">
        <v>0</v>
      </c>
      <c r="AP287" s="399">
        <v>0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>
        <v>0</v>
      </c>
      <c r="BG287" s="399">
        <v>64.016233450165174</v>
      </c>
      <c r="BH287" s="399">
        <v>0</v>
      </c>
      <c r="BI287" s="399">
        <v>0</v>
      </c>
      <c r="BJ287" s="399">
        <v>0</v>
      </c>
      <c r="BK287" s="399">
        <v>1458.78</v>
      </c>
      <c r="BL287" s="399">
        <v>2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>
        <v>496.16201440001657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2624.5079999999998</v>
      </c>
      <c r="CJ287" s="399">
        <v>-354.73620000000028</v>
      </c>
      <c r="CK287" s="399"/>
      <c r="CL287" s="399"/>
      <c r="CM287" s="399"/>
      <c r="CN287" s="399"/>
      <c r="CO287" s="399">
        <v>-353.24814000000015</v>
      </c>
      <c r="CP287" s="399">
        <v>0</v>
      </c>
      <c r="CQ287" s="399">
        <v>30</v>
      </c>
      <c r="CR287" s="399">
        <v>-27.225082264049433</v>
      </c>
      <c r="CS287" s="399">
        <v>0</v>
      </c>
      <c r="CT287" s="399">
        <v>0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-2.0724255482328431</v>
      </c>
      <c r="DA287" s="399">
        <v>0</v>
      </c>
      <c r="DB287" s="399">
        <v>0</v>
      </c>
      <c r="DC287" s="399">
        <v>0</v>
      </c>
      <c r="DD287" s="399">
        <v>0</v>
      </c>
      <c r="DE287" s="399">
        <v>0</v>
      </c>
      <c r="DF287" s="399">
        <v>0</v>
      </c>
      <c r="DG287" s="399">
        <v>0</v>
      </c>
      <c r="DH287" s="399">
        <v>0</v>
      </c>
      <c r="DI287" s="399">
        <v>-21.623364908438077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-2.888528435800378</v>
      </c>
      <c r="DP287" s="399">
        <v>-0.64076337157800989</v>
      </c>
      <c r="DQ287" s="399">
        <v>0</v>
      </c>
      <c r="DR287" s="399">
        <v>0</v>
      </c>
      <c r="DS287" s="399"/>
      <c r="DT287" s="399"/>
      <c r="DU287" s="399"/>
      <c r="DV287" s="399">
        <v>1834.7253410871119</v>
      </c>
      <c r="DW287" s="399">
        <v>0</v>
      </c>
      <c r="DX287" s="399">
        <v>0</v>
      </c>
      <c r="DY287" s="399">
        <v>-353.24814000000015</v>
      </c>
      <c r="DZ287" s="399">
        <v>0</v>
      </c>
      <c r="EA287" s="399">
        <v>0</v>
      </c>
      <c r="EB287" s="399">
        <v>0</v>
      </c>
      <c r="EC287" s="399">
        <v>-326.01962577147583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0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229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286</v>
      </c>
      <c r="B288" s="399" t="s">
        <v>954</v>
      </c>
      <c r="C288" s="399" t="s">
        <v>2344</v>
      </c>
      <c r="D288" s="399" t="s">
        <v>533</v>
      </c>
      <c r="E288" s="399" t="s">
        <v>888</v>
      </c>
      <c r="F288" s="399" t="s">
        <v>1237</v>
      </c>
      <c r="G288" s="399" t="s">
        <v>1237</v>
      </c>
      <c r="H288" s="399" t="s">
        <v>1237</v>
      </c>
      <c r="I288" s="399" t="s">
        <v>891</v>
      </c>
      <c r="J288" s="399" t="s">
        <v>2337</v>
      </c>
      <c r="K288" s="788">
        <v>44713</v>
      </c>
      <c r="L288" s="399">
        <v>0</v>
      </c>
      <c r="M288" s="399">
        <v>0</v>
      </c>
      <c r="N288" s="399">
        <v>98.912999999999997</v>
      </c>
      <c r="O288" s="399">
        <v>98.912999999999997</v>
      </c>
      <c r="P288" s="399">
        <v>98.912999999999997</v>
      </c>
      <c r="Q288" s="399">
        <v>98.912999999999997</v>
      </c>
      <c r="R288" s="399"/>
      <c r="S288" s="399">
        <v>3312.96</v>
      </c>
      <c r="T288" s="399">
        <v>119.97</v>
      </c>
      <c r="U288" s="399"/>
      <c r="V288" s="399">
        <v>339561.40508999996</v>
      </c>
      <c r="W288" s="399">
        <v>339561.40508999996</v>
      </c>
      <c r="X288" s="399">
        <v>294741.94653000002</v>
      </c>
      <c r="Y288" s="399">
        <v>0</v>
      </c>
      <c r="Z288" s="399">
        <v>5240.2668446283851</v>
      </c>
      <c r="AA288" s="399">
        <v>0</v>
      </c>
      <c r="AB288" s="399">
        <v>0</v>
      </c>
      <c r="AC288" s="399">
        <v>0</v>
      </c>
      <c r="AD288" s="399">
        <v>73951.216851171892</v>
      </c>
      <c r="AE288" s="399">
        <v>246608.98267437954</v>
      </c>
      <c r="AF288" s="399">
        <v>11866.972690475473</v>
      </c>
      <c r="AG288" s="399">
        <v>0</v>
      </c>
      <c r="AH288" s="399">
        <v>0</v>
      </c>
      <c r="AI288" s="399">
        <v>0</v>
      </c>
      <c r="AJ288" s="399">
        <v>0</v>
      </c>
      <c r="AK288" s="399">
        <v>0</v>
      </c>
      <c r="AL288" s="399">
        <v>930.79367532272397</v>
      </c>
      <c r="AM288" s="399"/>
      <c r="AN288" s="399">
        <v>83.159323579387163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880.70625836202998</v>
      </c>
      <c r="BH288" s="399">
        <v>0</v>
      </c>
      <c r="BI288" s="399">
        <v>0</v>
      </c>
      <c r="BJ288" s="399">
        <v>0</v>
      </c>
      <c r="BK288" s="399">
        <v>0</v>
      </c>
      <c r="BL288" s="399">
        <v>0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12747.678948837503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294733.00709999999</v>
      </c>
      <c r="CJ288" s="399">
        <v>-44828.427989999996</v>
      </c>
      <c r="CK288" s="399"/>
      <c r="CL288" s="399"/>
      <c r="CM288" s="399"/>
      <c r="CN288" s="399"/>
      <c r="CO288" s="399">
        <v>-44819.458559999985</v>
      </c>
      <c r="CP288" s="399">
        <v>0</v>
      </c>
      <c r="CQ288" s="399">
        <v>30</v>
      </c>
      <c r="CR288" s="399">
        <v>-998.44679564338003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-395.65231268772914</v>
      </c>
      <c r="DA288" s="399">
        <v>0</v>
      </c>
      <c r="DB288" s="399">
        <v>0</v>
      </c>
      <c r="DC288" s="399">
        <v>0</v>
      </c>
      <c r="DD288" s="399">
        <v>0</v>
      </c>
      <c r="DE288" s="399">
        <v>0</v>
      </c>
      <c r="DF288" s="399">
        <v>0</v>
      </c>
      <c r="DG288" s="399">
        <v>0</v>
      </c>
      <c r="DH288" s="399">
        <v>0</v>
      </c>
      <c r="DI288" s="399">
        <v>-516.59737564515217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-79.320658847951904</v>
      </c>
      <c r="DP288" s="399">
        <v>-6.8764484625621378</v>
      </c>
      <c r="DQ288" s="399">
        <v>0</v>
      </c>
      <c r="DR288" s="399">
        <v>0</v>
      </c>
      <c r="DS288" s="399"/>
      <c r="DT288" s="399"/>
      <c r="DU288" s="399"/>
      <c r="DV288" s="399">
        <v>246608.98267437954</v>
      </c>
      <c r="DW288" s="399">
        <v>0</v>
      </c>
      <c r="DX288" s="399">
        <v>0</v>
      </c>
      <c r="DY288" s="399">
        <v>-44819.458559999941</v>
      </c>
      <c r="DZ288" s="399">
        <v>0</v>
      </c>
      <c r="EA288" s="399">
        <v>0</v>
      </c>
      <c r="EB288" s="399">
        <v>0</v>
      </c>
      <c r="EC288" s="399">
        <v>-43820.928638695768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229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287</v>
      </c>
      <c r="B289" s="399" t="s">
        <v>2339</v>
      </c>
      <c r="C289" s="399" t="s">
        <v>2344</v>
      </c>
      <c r="D289" s="399" t="s">
        <v>533</v>
      </c>
      <c r="E289" s="399" t="s">
        <v>888</v>
      </c>
      <c r="F289" s="399" t="s">
        <v>1237</v>
      </c>
      <c r="G289" s="399" t="s">
        <v>1237</v>
      </c>
      <c r="H289" s="399" t="s">
        <v>1237</v>
      </c>
      <c r="I289" s="399" t="s">
        <v>891</v>
      </c>
      <c r="J289" s="399" t="s">
        <v>2337</v>
      </c>
      <c r="K289" s="788">
        <v>44713</v>
      </c>
      <c r="L289" s="399">
        <v>0</v>
      </c>
      <c r="M289" s="399">
        <v>0</v>
      </c>
      <c r="N289" s="399">
        <v>3.0649999999999999</v>
      </c>
      <c r="O289" s="399">
        <v>3.0649999999999999</v>
      </c>
      <c r="P289" s="399">
        <v>3.0649999999999999</v>
      </c>
      <c r="Q289" s="399">
        <v>3.0649999999999999</v>
      </c>
      <c r="R289" s="399"/>
      <c r="S289" s="399">
        <v>3312.96</v>
      </c>
      <c r="T289" s="399">
        <v>119.97</v>
      </c>
      <c r="U289" s="399"/>
      <c r="V289" s="399">
        <v>10521.93045</v>
      </c>
      <c r="W289" s="399">
        <v>10521.93045</v>
      </c>
      <c r="X289" s="399">
        <v>9133.1176500000001</v>
      </c>
      <c r="Y289" s="399">
        <v>0</v>
      </c>
      <c r="Z289" s="399">
        <v>162.3792411390414</v>
      </c>
      <c r="AA289" s="399">
        <v>0</v>
      </c>
      <c r="AB289" s="399">
        <v>0</v>
      </c>
      <c r="AC289" s="399">
        <v>0</v>
      </c>
      <c r="AD289" s="399">
        <v>2291.5135487634775</v>
      </c>
      <c r="AE289" s="399">
        <v>7641.6298352792182</v>
      </c>
      <c r="AF289" s="399">
        <v>367.71982748786638</v>
      </c>
      <c r="AG289" s="399">
        <v>0</v>
      </c>
      <c r="AH289" s="399">
        <v>0</v>
      </c>
      <c r="AI289" s="399">
        <v>0</v>
      </c>
      <c r="AJ289" s="399">
        <v>0</v>
      </c>
      <c r="AK289" s="399">
        <v>0</v>
      </c>
      <c r="AL289" s="399">
        <v>28.842342410645205</v>
      </c>
      <c r="AM289" s="399"/>
      <c r="AN289" s="399">
        <v>2.5768435571747057</v>
      </c>
      <c r="AO289" s="399">
        <v>0</v>
      </c>
      <c r="AP289" s="399">
        <v>0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>
        <v>0</v>
      </c>
      <c r="BG289" s="399">
        <v>27.290292296054332</v>
      </c>
      <c r="BH289" s="399">
        <v>0</v>
      </c>
      <c r="BI289" s="399">
        <v>0</v>
      </c>
      <c r="BJ289" s="399">
        <v>0</v>
      </c>
      <c r="BK289" s="399">
        <v>0</v>
      </c>
      <c r="BL289" s="399">
        <v>0</v>
      </c>
      <c r="BM289" s="399"/>
      <c r="BN289" s="399"/>
      <c r="BO289" s="399"/>
      <c r="BP289" s="399"/>
      <c r="BQ289" s="399"/>
      <c r="BR289" s="399"/>
      <c r="BS289" s="399"/>
      <c r="BT289" s="399"/>
      <c r="BU289" s="399"/>
      <c r="BV289" s="399">
        <v>395.01011978392069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9148.0167000000001</v>
      </c>
      <c r="CJ289" s="399">
        <v>-1373.9437500000004</v>
      </c>
      <c r="CK289" s="399"/>
      <c r="CL289" s="399"/>
      <c r="CM289" s="399"/>
      <c r="CN289" s="399"/>
      <c r="CO289" s="399">
        <v>-1388.8127999999997</v>
      </c>
      <c r="CP289" s="399">
        <v>0</v>
      </c>
      <c r="CQ289" s="399">
        <v>30</v>
      </c>
      <c r="CR289" s="399">
        <v>-30.938697933002459</v>
      </c>
      <c r="CS289" s="399">
        <v>0</v>
      </c>
      <c r="CT289" s="399">
        <v>0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-12.260009689200615</v>
      </c>
      <c r="DA289" s="399">
        <v>0</v>
      </c>
      <c r="DB289" s="399">
        <v>0</v>
      </c>
      <c r="DC289" s="399">
        <v>0</v>
      </c>
      <c r="DD289" s="399">
        <v>0</v>
      </c>
      <c r="DE289" s="399">
        <v>0</v>
      </c>
      <c r="DF289" s="399">
        <v>0</v>
      </c>
      <c r="DG289" s="399">
        <v>0</v>
      </c>
      <c r="DH289" s="399">
        <v>0</v>
      </c>
      <c r="DI289" s="399">
        <v>-16.007713408271826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-2.4578955179700621</v>
      </c>
      <c r="DP289" s="399">
        <v>-0.21307931755940013</v>
      </c>
      <c r="DQ289" s="399">
        <v>0</v>
      </c>
      <c r="DR289" s="399">
        <v>0</v>
      </c>
      <c r="DS289" s="399"/>
      <c r="DT289" s="399"/>
      <c r="DU289" s="399"/>
      <c r="DV289" s="399">
        <v>7641.6298352792182</v>
      </c>
      <c r="DW289" s="399">
        <v>0</v>
      </c>
      <c r="DX289" s="399">
        <v>0</v>
      </c>
      <c r="DY289" s="399">
        <v>-1388.8127999999997</v>
      </c>
      <c r="DZ289" s="399">
        <v>0</v>
      </c>
      <c r="EA289" s="399">
        <v>0</v>
      </c>
      <c r="EB289" s="399">
        <v>0</v>
      </c>
      <c r="EC289" s="399">
        <v>-1357.8715262665419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0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229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288</v>
      </c>
      <c r="B290" s="399" t="s">
        <v>954</v>
      </c>
      <c r="C290" s="399" t="s">
        <v>2344</v>
      </c>
      <c r="D290" s="399" t="s">
        <v>533</v>
      </c>
      <c r="E290" s="399" t="s">
        <v>888</v>
      </c>
      <c r="F290" s="399" t="s">
        <v>1237</v>
      </c>
      <c r="G290" s="399" t="s">
        <v>1237</v>
      </c>
      <c r="H290" s="399" t="s">
        <v>1237</v>
      </c>
      <c r="I290" s="399" t="s">
        <v>2322</v>
      </c>
      <c r="J290" s="399" t="s">
        <v>2337</v>
      </c>
      <c r="K290" s="788">
        <v>44713</v>
      </c>
      <c r="L290" s="399">
        <v>0</v>
      </c>
      <c r="M290" s="399">
        <v>0</v>
      </c>
      <c r="N290" s="399">
        <v>2419.5059999999999</v>
      </c>
      <c r="O290" s="399">
        <v>2419.5059999999999</v>
      </c>
      <c r="P290" s="399">
        <v>2419.5059999999999</v>
      </c>
      <c r="Q290" s="399">
        <v>2419.5059999999999</v>
      </c>
      <c r="R290" s="399"/>
      <c r="S290" s="399">
        <v>72.13</v>
      </c>
      <c r="T290" s="399">
        <v>119.97</v>
      </c>
      <c r="U290" s="399"/>
      <c r="V290" s="399">
        <v>464787.10259999998</v>
      </c>
      <c r="W290" s="399">
        <v>464787.10259999998</v>
      </c>
      <c r="X290" s="399">
        <v>450052.31105999998</v>
      </c>
      <c r="Y290" s="399">
        <v>0</v>
      </c>
      <c r="Z290" s="399">
        <v>128181.90806243311</v>
      </c>
      <c r="AA290" s="399">
        <v>0</v>
      </c>
      <c r="AB290" s="399">
        <v>0</v>
      </c>
      <c r="AC290" s="399">
        <v>0</v>
      </c>
      <c r="AD290" s="399">
        <v>0</v>
      </c>
      <c r="AE290" s="399">
        <v>0</v>
      </c>
      <c r="AF290" s="399">
        <v>290277.43194970884</v>
      </c>
      <c r="AG290" s="399">
        <v>0</v>
      </c>
      <c r="AH290" s="399">
        <v>0</v>
      </c>
      <c r="AI290" s="399">
        <v>0</v>
      </c>
      <c r="AJ290" s="399">
        <v>0</v>
      </c>
      <c r="AK290" s="399">
        <v>0</v>
      </c>
      <c r="AL290" s="399">
        <v>22768.098047833781</v>
      </c>
      <c r="AM290" s="399"/>
      <c r="AN290" s="399">
        <v>2034.15610037375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21542.912219268263</v>
      </c>
      <c r="BH290" s="399">
        <v>0</v>
      </c>
      <c r="BI290" s="399">
        <v>0</v>
      </c>
      <c r="BJ290" s="399">
        <v>0</v>
      </c>
      <c r="BK290" s="399">
        <v>0</v>
      </c>
      <c r="BL290" s="399">
        <v>0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311820.34416897711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450053.05510000006</v>
      </c>
      <c r="CJ290" s="399">
        <v>-14734.077499999956</v>
      </c>
      <c r="CK290" s="399"/>
      <c r="CL290" s="399"/>
      <c r="CM290" s="399"/>
      <c r="CN290" s="399"/>
      <c r="CO290" s="399">
        <v>-14734.791539999973</v>
      </c>
      <c r="CP290" s="399">
        <v>0</v>
      </c>
      <c r="CQ290" s="399">
        <v>30</v>
      </c>
      <c r="CR290" s="399">
        <v>-14744.926028713526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0</v>
      </c>
      <c r="DA290" s="399">
        <v>0</v>
      </c>
      <c r="DB290" s="399">
        <v>0</v>
      </c>
      <c r="DC290" s="399">
        <v>0</v>
      </c>
      <c r="DD290" s="399">
        <v>0</v>
      </c>
      <c r="DE290" s="399">
        <v>0</v>
      </c>
      <c r="DF290" s="399">
        <v>0</v>
      </c>
      <c r="DG290" s="399">
        <v>0</v>
      </c>
      <c r="DH290" s="399">
        <v>0</v>
      </c>
      <c r="DI290" s="399">
        <v>-12636.462850764816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-1940.2587122680816</v>
      </c>
      <c r="DP290" s="399">
        <v>-168.20446568054626</v>
      </c>
      <c r="DQ290" s="399">
        <v>0</v>
      </c>
      <c r="DR290" s="399">
        <v>0</v>
      </c>
      <c r="DS290" s="399"/>
      <c r="DT290" s="399"/>
      <c r="DU290" s="399"/>
      <c r="DV290" s="399">
        <v>0</v>
      </c>
      <c r="DW290" s="399">
        <v>0</v>
      </c>
      <c r="DX290" s="399">
        <v>0</v>
      </c>
      <c r="DY290" s="399">
        <v>-14734.791539999977</v>
      </c>
      <c r="DZ290" s="399">
        <v>0</v>
      </c>
      <c r="EA290" s="399">
        <v>0</v>
      </c>
      <c r="EB290" s="399">
        <v>0</v>
      </c>
      <c r="EC290" s="399">
        <v>0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0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229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289</v>
      </c>
      <c r="B291" s="399" t="s">
        <v>2339</v>
      </c>
      <c r="C291" s="399" t="s">
        <v>2344</v>
      </c>
      <c r="D291" s="399" t="s">
        <v>533</v>
      </c>
      <c r="E291" s="399" t="s">
        <v>888</v>
      </c>
      <c r="F291" s="399" t="s">
        <v>1237</v>
      </c>
      <c r="G291" s="399" t="s">
        <v>1237</v>
      </c>
      <c r="H291" s="399" t="s">
        <v>1237</v>
      </c>
      <c r="I291" s="399" t="s">
        <v>2322</v>
      </c>
      <c r="J291" s="399" t="s">
        <v>2337</v>
      </c>
      <c r="K291" s="788">
        <v>44713</v>
      </c>
      <c r="L291" s="399">
        <v>0</v>
      </c>
      <c r="M291" s="399">
        <v>0</v>
      </c>
      <c r="N291" s="399">
        <v>18.134</v>
      </c>
      <c r="O291" s="399">
        <v>18.134</v>
      </c>
      <c r="P291" s="399">
        <v>18.134</v>
      </c>
      <c r="Q291" s="399">
        <v>18.134</v>
      </c>
      <c r="R291" s="399"/>
      <c r="S291" s="399">
        <v>72.13</v>
      </c>
      <c r="T291" s="399">
        <v>119.97</v>
      </c>
      <c r="U291" s="399"/>
      <c r="V291" s="399">
        <v>3483.5414000000001</v>
      </c>
      <c r="W291" s="399">
        <v>3483.5414000000001</v>
      </c>
      <c r="X291" s="399">
        <v>3373.1053400000001</v>
      </c>
      <c r="Y291" s="399">
        <v>0</v>
      </c>
      <c r="Z291" s="399">
        <v>960.71293925460907</v>
      </c>
      <c r="AA291" s="399">
        <v>0</v>
      </c>
      <c r="AB291" s="399">
        <v>0</v>
      </c>
      <c r="AC291" s="399">
        <v>0</v>
      </c>
      <c r="AD291" s="399">
        <v>0</v>
      </c>
      <c r="AE291" s="399">
        <v>0</v>
      </c>
      <c r="AF291" s="399">
        <v>2175.6056612283751</v>
      </c>
      <c r="AG291" s="399">
        <v>0</v>
      </c>
      <c r="AH291" s="399">
        <v>0</v>
      </c>
      <c r="AI291" s="399">
        <v>0</v>
      </c>
      <c r="AJ291" s="399">
        <v>0</v>
      </c>
      <c r="AK291" s="399">
        <v>0</v>
      </c>
      <c r="AL291" s="399">
        <v>170.64503663120396</v>
      </c>
      <c r="AM291" s="399"/>
      <c r="AN291" s="399">
        <v>15.245833952954687</v>
      </c>
      <c r="AO291" s="399">
        <v>0</v>
      </c>
      <c r="AP291" s="399">
        <v>0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>
        <v>0</v>
      </c>
      <c r="BG291" s="399">
        <v>161.4623688406686</v>
      </c>
      <c r="BH291" s="399">
        <v>0</v>
      </c>
      <c r="BI291" s="399">
        <v>0</v>
      </c>
      <c r="BJ291" s="399">
        <v>0</v>
      </c>
      <c r="BK291" s="399">
        <v>0</v>
      </c>
      <c r="BL291" s="399">
        <v>0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>
        <v>2337.0680300690437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3372.3612999999996</v>
      </c>
      <c r="CJ291" s="399">
        <v>-111.21010000000069</v>
      </c>
      <c r="CK291" s="399"/>
      <c r="CL291" s="399"/>
      <c r="CM291" s="399"/>
      <c r="CN291" s="399"/>
      <c r="CO291" s="399">
        <v>-110.43605999999981</v>
      </c>
      <c r="CP291" s="399">
        <v>0</v>
      </c>
      <c r="CQ291" s="399">
        <v>30</v>
      </c>
      <c r="CR291" s="399">
        <v>-110.5120171657727</v>
      </c>
      <c r="CS291" s="399">
        <v>0</v>
      </c>
      <c r="CT291" s="399">
        <v>0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0</v>
      </c>
      <c r="DA291" s="399">
        <v>0</v>
      </c>
      <c r="DB291" s="399">
        <v>0</v>
      </c>
      <c r="DC291" s="399">
        <v>0</v>
      </c>
      <c r="DD291" s="399">
        <v>0</v>
      </c>
      <c r="DE291" s="399">
        <v>0</v>
      </c>
      <c r="DF291" s="399">
        <v>0</v>
      </c>
      <c r="DG291" s="399">
        <v>0</v>
      </c>
      <c r="DH291" s="399">
        <v>0</v>
      </c>
      <c r="DI291" s="399">
        <v>-94.709257731028174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-14.542080692616338</v>
      </c>
      <c r="DP291" s="399">
        <v>-1.2606787421279488</v>
      </c>
      <c r="DQ291" s="399">
        <v>0</v>
      </c>
      <c r="DR291" s="399">
        <v>0</v>
      </c>
      <c r="DS291" s="399"/>
      <c r="DT291" s="399"/>
      <c r="DU291" s="399"/>
      <c r="DV291" s="399">
        <v>0</v>
      </c>
      <c r="DW291" s="399">
        <v>0</v>
      </c>
      <c r="DX291" s="399">
        <v>0</v>
      </c>
      <c r="DY291" s="399">
        <v>-110.43605999999977</v>
      </c>
      <c r="DZ291" s="399">
        <v>0</v>
      </c>
      <c r="EA291" s="399">
        <v>0</v>
      </c>
      <c r="EB291" s="399">
        <v>0</v>
      </c>
      <c r="EC291" s="399">
        <v>0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0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229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290</v>
      </c>
      <c r="B292" s="399" t="s">
        <v>954</v>
      </c>
      <c r="C292" s="399" t="s">
        <v>2344</v>
      </c>
      <c r="D292" s="399" t="s">
        <v>533</v>
      </c>
      <c r="E292" s="399" t="s">
        <v>888</v>
      </c>
      <c r="F292" s="399" t="s">
        <v>1237</v>
      </c>
      <c r="G292" s="399" t="s">
        <v>1237</v>
      </c>
      <c r="H292" s="399" t="s">
        <v>1237</v>
      </c>
      <c r="I292" s="399" t="s">
        <v>1237</v>
      </c>
      <c r="J292" s="399" t="s">
        <v>2337</v>
      </c>
      <c r="K292" s="788">
        <v>44713</v>
      </c>
      <c r="L292" s="399">
        <v>10447</v>
      </c>
      <c r="M292" s="399">
        <v>10447</v>
      </c>
      <c r="N292" s="399">
        <v>0</v>
      </c>
      <c r="O292" s="399">
        <v>0</v>
      </c>
      <c r="P292" s="399">
        <v>0</v>
      </c>
      <c r="Q292" s="399">
        <v>0</v>
      </c>
      <c r="R292" s="399">
        <v>46.29</v>
      </c>
      <c r="S292" s="399"/>
      <c r="T292" s="399"/>
      <c r="U292" s="399">
        <v>483591.63</v>
      </c>
      <c r="V292" s="399"/>
      <c r="W292" s="399">
        <v>483591.63</v>
      </c>
      <c r="X292" s="399">
        <v>429894.05</v>
      </c>
      <c r="Y292" s="399">
        <v>0</v>
      </c>
      <c r="Z292" s="399">
        <v>0</v>
      </c>
      <c r="AA292" s="399">
        <v>0</v>
      </c>
      <c r="AB292" s="399">
        <v>0</v>
      </c>
      <c r="AC292" s="399">
        <v>0</v>
      </c>
      <c r="AD292" s="399">
        <v>187137.24026612061</v>
      </c>
      <c r="AE292" s="399">
        <v>296417.20554809703</v>
      </c>
      <c r="AF292" s="399"/>
      <c r="AG292" s="399"/>
      <c r="AH292" s="399"/>
      <c r="AI292" s="399">
        <v>0</v>
      </c>
      <c r="AJ292" s="399">
        <v>0</v>
      </c>
      <c r="AK292" s="399">
        <v>0</v>
      </c>
      <c r="AL292" s="399">
        <v>0</v>
      </c>
      <c r="AM292" s="399"/>
      <c r="AN292" s="399">
        <v>0</v>
      </c>
      <c r="AO292" s="399">
        <v>0</v>
      </c>
      <c r="AP292" s="399">
        <v>0</v>
      </c>
      <c r="AQ292" s="399">
        <v>0</v>
      </c>
      <c r="AR292" s="399">
        <v>0</v>
      </c>
      <c r="AS292" s="399"/>
      <c r="AT292" s="399"/>
      <c r="AU292" s="399">
        <v>0</v>
      </c>
      <c r="AV292" s="399">
        <v>0</v>
      </c>
      <c r="AW292" s="399">
        <v>0</v>
      </c>
      <c r="AX292" s="399"/>
      <c r="AY292" s="399"/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/>
      <c r="BG292" s="399">
        <v>0</v>
      </c>
      <c r="BH292" s="399">
        <v>0</v>
      </c>
      <c r="BI292" s="399">
        <v>0</v>
      </c>
      <c r="BJ292" s="399">
        <v>0</v>
      </c>
      <c r="BK292" s="399">
        <v>374169.79</v>
      </c>
      <c r="BL292" s="399">
        <v>26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>
        <v>0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429894.05</v>
      </c>
      <c r="CJ292" s="399">
        <v>-53697.610000000044</v>
      </c>
      <c r="CK292" s="399"/>
      <c r="CL292" s="399"/>
      <c r="CM292" s="399"/>
      <c r="CN292" s="399"/>
      <c r="CO292" s="399">
        <v>-53697.580000000009</v>
      </c>
      <c r="CP292" s="399">
        <v>0</v>
      </c>
      <c r="CQ292" s="399">
        <v>30</v>
      </c>
      <c r="CR292" s="399">
        <v>-1001.217898149247</v>
      </c>
      <c r="CS292" s="399">
        <v>0</v>
      </c>
      <c r="CT292" s="399">
        <v>0</v>
      </c>
      <c r="CU292" s="399">
        <v>0</v>
      </c>
      <c r="CV292" s="399">
        <v>0</v>
      </c>
      <c r="CW292" s="399"/>
      <c r="CX292" s="399"/>
      <c r="CY292" s="399"/>
      <c r="CZ292" s="399">
        <v>-1001.217898149247</v>
      </c>
      <c r="DA292" s="399">
        <v>0</v>
      </c>
      <c r="DB292" s="399">
        <v>0</v>
      </c>
      <c r="DC292" s="399"/>
      <c r="DD292" s="399"/>
      <c r="DE292" s="399">
        <v>0</v>
      </c>
      <c r="DF292" s="399">
        <v>0</v>
      </c>
      <c r="DG292" s="399">
        <v>0</v>
      </c>
      <c r="DH292" s="399">
        <v>0</v>
      </c>
      <c r="DI292" s="399">
        <v>0</v>
      </c>
      <c r="DJ292" s="399"/>
      <c r="DK292" s="399">
        <v>0</v>
      </c>
      <c r="DL292" s="399">
        <v>0</v>
      </c>
      <c r="DM292" s="399"/>
      <c r="DN292" s="399">
        <v>0</v>
      </c>
      <c r="DO292" s="399">
        <v>0</v>
      </c>
      <c r="DP292" s="399">
        <v>0</v>
      </c>
      <c r="DQ292" s="399">
        <v>0</v>
      </c>
      <c r="DR292" s="399">
        <v>0</v>
      </c>
      <c r="DS292" s="399"/>
      <c r="DT292" s="399"/>
      <c r="DU292" s="399">
        <v>296417.20554809703</v>
      </c>
      <c r="DV292" s="399"/>
      <c r="DW292" s="399">
        <v>0</v>
      </c>
      <c r="DX292" s="399">
        <v>0</v>
      </c>
      <c r="DY292" s="399">
        <v>-53697.580000000016</v>
      </c>
      <c r="DZ292" s="399"/>
      <c r="EA292" s="399">
        <v>0</v>
      </c>
      <c r="EB292" s="399"/>
      <c r="EC292" s="399">
        <v>-52671.549392650631</v>
      </c>
      <c r="ED292" s="399"/>
      <c r="EE292" s="399">
        <v>0</v>
      </c>
      <c r="EF292" s="399">
        <v>0</v>
      </c>
      <c r="EG292" s="399"/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/>
      <c r="EN292" s="399"/>
      <c r="EO292" s="399">
        <v>0</v>
      </c>
      <c r="EP292" s="399">
        <v>0</v>
      </c>
      <c r="EQ292" s="399"/>
      <c r="ER292" s="399">
        <v>0</v>
      </c>
      <c r="ES292" s="399"/>
      <c r="ET292" s="399">
        <v>0</v>
      </c>
      <c r="EU292" s="399"/>
      <c r="EV292" s="399">
        <v>229</v>
      </c>
      <c r="EW292" s="399"/>
      <c r="EX292" s="399"/>
      <c r="EY292" s="399"/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291</v>
      </c>
      <c r="B293" s="399" t="s">
        <v>2339</v>
      </c>
      <c r="C293" s="399" t="s">
        <v>2344</v>
      </c>
      <c r="D293" s="399" t="s">
        <v>533</v>
      </c>
      <c r="E293" s="399" t="s">
        <v>888</v>
      </c>
      <c r="F293" s="399" t="s">
        <v>1237</v>
      </c>
      <c r="G293" s="399" t="s">
        <v>1237</v>
      </c>
      <c r="H293" s="399" t="s">
        <v>1237</v>
      </c>
      <c r="I293" s="399" t="s">
        <v>1237</v>
      </c>
      <c r="J293" s="399" t="s">
        <v>2337</v>
      </c>
      <c r="K293" s="788">
        <v>44713</v>
      </c>
      <c r="L293" s="399">
        <v>90</v>
      </c>
      <c r="M293" s="399">
        <v>90</v>
      </c>
      <c r="N293" s="399">
        <v>0</v>
      </c>
      <c r="O293" s="399">
        <v>0</v>
      </c>
      <c r="P293" s="399">
        <v>0</v>
      </c>
      <c r="Q293" s="399">
        <v>0</v>
      </c>
      <c r="R293" s="399">
        <v>46.29</v>
      </c>
      <c r="S293" s="399"/>
      <c r="T293" s="399"/>
      <c r="U293" s="399">
        <v>4166.1000000000004</v>
      </c>
      <c r="V293" s="399"/>
      <c r="W293" s="399">
        <v>4166.1000000000004</v>
      </c>
      <c r="X293" s="399">
        <v>3703.5</v>
      </c>
      <c r="Y293" s="399">
        <v>0</v>
      </c>
      <c r="Z293" s="399">
        <v>0</v>
      </c>
      <c r="AA293" s="399">
        <v>0</v>
      </c>
      <c r="AB293" s="399">
        <v>0</v>
      </c>
      <c r="AC293" s="399">
        <v>0</v>
      </c>
      <c r="AD293" s="399">
        <v>1612.1711136164311</v>
      </c>
      <c r="AE293" s="399">
        <v>2553.608547844236</v>
      </c>
      <c r="AF293" s="399"/>
      <c r="AG293" s="399"/>
      <c r="AH293" s="399"/>
      <c r="AI293" s="399">
        <v>0</v>
      </c>
      <c r="AJ293" s="399">
        <v>0</v>
      </c>
      <c r="AK293" s="399">
        <v>0</v>
      </c>
      <c r="AL293" s="399">
        <v>0</v>
      </c>
      <c r="AM293" s="399"/>
      <c r="AN293" s="399">
        <v>0</v>
      </c>
      <c r="AO293" s="399">
        <v>0</v>
      </c>
      <c r="AP293" s="399">
        <v>0</v>
      </c>
      <c r="AQ293" s="399">
        <v>0</v>
      </c>
      <c r="AR293" s="399">
        <v>0</v>
      </c>
      <c r="AS293" s="399"/>
      <c r="AT293" s="399"/>
      <c r="AU293" s="399">
        <v>0</v>
      </c>
      <c r="AV293" s="399">
        <v>0</v>
      </c>
      <c r="AW293" s="399">
        <v>0</v>
      </c>
      <c r="AX293" s="399"/>
      <c r="AY293" s="399"/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/>
      <c r="BG293" s="399">
        <v>0</v>
      </c>
      <c r="BH293" s="399">
        <v>0</v>
      </c>
      <c r="BI293" s="399">
        <v>0</v>
      </c>
      <c r="BJ293" s="399">
        <v>0</v>
      </c>
      <c r="BK293" s="399">
        <v>5910.44</v>
      </c>
      <c r="BL293" s="399">
        <v>1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>
        <v>0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3703.5</v>
      </c>
      <c r="CJ293" s="399">
        <v>-462.63000000000102</v>
      </c>
      <c r="CK293" s="399"/>
      <c r="CL293" s="399"/>
      <c r="CM293" s="399"/>
      <c r="CN293" s="399"/>
      <c r="CO293" s="399">
        <v>-462.6</v>
      </c>
      <c r="CP293" s="399">
        <v>0</v>
      </c>
      <c r="CQ293" s="399">
        <v>30</v>
      </c>
      <c r="CR293" s="399">
        <v>-8.6254054593121054</v>
      </c>
      <c r="CS293" s="399">
        <v>0</v>
      </c>
      <c r="CT293" s="399">
        <v>0</v>
      </c>
      <c r="CU293" s="399">
        <v>0</v>
      </c>
      <c r="CV293" s="399">
        <v>0</v>
      </c>
      <c r="CW293" s="399"/>
      <c r="CX293" s="399"/>
      <c r="CY293" s="399"/>
      <c r="CZ293" s="399">
        <v>-8.6254054593121054</v>
      </c>
      <c r="DA293" s="399">
        <v>0</v>
      </c>
      <c r="DB293" s="399">
        <v>0</v>
      </c>
      <c r="DC293" s="399"/>
      <c r="DD293" s="399"/>
      <c r="DE293" s="399">
        <v>0</v>
      </c>
      <c r="DF293" s="399">
        <v>0</v>
      </c>
      <c r="DG293" s="399">
        <v>0</v>
      </c>
      <c r="DH293" s="399">
        <v>0</v>
      </c>
      <c r="DI293" s="399">
        <v>0</v>
      </c>
      <c r="DJ293" s="399"/>
      <c r="DK293" s="399">
        <v>0</v>
      </c>
      <c r="DL293" s="399">
        <v>0</v>
      </c>
      <c r="DM293" s="399"/>
      <c r="DN293" s="399">
        <v>0</v>
      </c>
      <c r="DO293" s="399">
        <v>0</v>
      </c>
      <c r="DP293" s="399">
        <v>0</v>
      </c>
      <c r="DQ293" s="399">
        <v>0</v>
      </c>
      <c r="DR293" s="399">
        <v>0</v>
      </c>
      <c r="DS293" s="399"/>
      <c r="DT293" s="399"/>
      <c r="DU293" s="399">
        <v>2553.608547844236</v>
      </c>
      <c r="DV293" s="399"/>
      <c r="DW293" s="399">
        <v>0</v>
      </c>
      <c r="DX293" s="399">
        <v>0</v>
      </c>
      <c r="DY293" s="399">
        <v>-462.60000000000036</v>
      </c>
      <c r="DZ293" s="399"/>
      <c r="EA293" s="399">
        <v>0</v>
      </c>
      <c r="EB293" s="399"/>
      <c r="EC293" s="399">
        <v>-453.76083520039811</v>
      </c>
      <c r="ED293" s="399"/>
      <c r="EE293" s="399">
        <v>0</v>
      </c>
      <c r="EF293" s="399">
        <v>0</v>
      </c>
      <c r="EG293" s="399"/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/>
      <c r="EN293" s="399"/>
      <c r="EO293" s="399">
        <v>0</v>
      </c>
      <c r="EP293" s="399">
        <v>0</v>
      </c>
      <c r="EQ293" s="399"/>
      <c r="ER293" s="399">
        <v>0</v>
      </c>
      <c r="ES293" s="399"/>
      <c r="ET293" s="399">
        <v>0</v>
      </c>
      <c r="EU293" s="399"/>
      <c r="EV293" s="399">
        <v>229</v>
      </c>
      <c r="EW293" s="399"/>
      <c r="EX293" s="399"/>
      <c r="EY293" s="399"/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292</v>
      </c>
      <c r="B294" s="399" t="s">
        <v>954</v>
      </c>
      <c r="C294" s="399" t="s">
        <v>2345</v>
      </c>
      <c r="D294" s="399" t="s">
        <v>1822</v>
      </c>
      <c r="E294" s="399" t="s">
        <v>888</v>
      </c>
      <c r="F294" s="399" t="s">
        <v>1237</v>
      </c>
      <c r="G294" s="399" t="s">
        <v>1237</v>
      </c>
      <c r="H294" s="399" t="s">
        <v>1237</v>
      </c>
      <c r="I294" s="399" t="s">
        <v>891</v>
      </c>
      <c r="J294" s="399" t="s">
        <v>2337</v>
      </c>
      <c r="K294" s="788">
        <v>44713</v>
      </c>
      <c r="L294" s="399">
        <v>0</v>
      </c>
      <c r="M294" s="399">
        <v>0</v>
      </c>
      <c r="N294" s="399">
        <v>9.1999999999999998E-2</v>
      </c>
      <c r="O294" s="399">
        <v>9.1999999999999998E-2</v>
      </c>
      <c r="P294" s="399">
        <v>9.1999999999999998E-2</v>
      </c>
      <c r="Q294" s="399">
        <v>9.1999999999999998E-2</v>
      </c>
      <c r="R294" s="399"/>
      <c r="S294" s="399">
        <v>2187.66</v>
      </c>
      <c r="T294" s="399">
        <v>119.97</v>
      </c>
      <c r="U294" s="399"/>
      <c r="V294" s="399">
        <v>212.30195999999998</v>
      </c>
      <c r="W294" s="399">
        <v>212.30195999999998</v>
      </c>
      <c r="X294" s="399">
        <v>183.16739999999999</v>
      </c>
      <c r="Y294" s="399">
        <v>0</v>
      </c>
      <c r="Z294" s="399">
        <v>5.6023289211872331</v>
      </c>
      <c r="AA294" s="399">
        <v>0</v>
      </c>
      <c r="AB294" s="399">
        <v>0</v>
      </c>
      <c r="AC294" s="399">
        <v>0</v>
      </c>
      <c r="AD294" s="399">
        <v>33.634890400728665</v>
      </c>
      <c r="AE294" s="399">
        <v>159.32871291353362</v>
      </c>
      <c r="AF294" s="399">
        <v>11.037593516764668</v>
      </c>
      <c r="AG294" s="399">
        <v>0</v>
      </c>
      <c r="AH294" s="399">
        <v>0</v>
      </c>
      <c r="AI294" s="399">
        <v>0</v>
      </c>
      <c r="AJ294" s="399">
        <v>0</v>
      </c>
      <c r="AK294" s="399">
        <v>0</v>
      </c>
      <c r="AL294" s="399">
        <v>0.865740783614799</v>
      </c>
      <c r="AM294" s="399"/>
      <c r="AN294" s="399">
        <v>0.19791948511103022</v>
      </c>
      <c r="AO294" s="399">
        <v>0</v>
      </c>
      <c r="AP294" s="399">
        <v>0</v>
      </c>
      <c r="AQ294" s="399">
        <v>0</v>
      </c>
      <c r="AR294" s="399">
        <v>0</v>
      </c>
      <c r="AS294" s="399">
        <v>0</v>
      </c>
      <c r="AT294" s="399">
        <v>0</v>
      </c>
      <c r="AU294" s="399">
        <v>0</v>
      </c>
      <c r="AV294" s="399">
        <v>0</v>
      </c>
      <c r="AW294" s="399">
        <v>0</v>
      </c>
      <c r="AX294" s="399">
        <v>0</v>
      </c>
      <c r="AY294" s="399">
        <v>0</v>
      </c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>
        <v>0</v>
      </c>
      <c r="BG294" s="399">
        <v>1.6350620425916704</v>
      </c>
      <c r="BH294" s="399">
        <v>0</v>
      </c>
      <c r="BI294" s="399">
        <v>0</v>
      </c>
      <c r="BJ294" s="399">
        <v>0</v>
      </c>
      <c r="BK294" s="399">
        <v>0</v>
      </c>
      <c r="BL294" s="399">
        <v>0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>
        <v>12.672655559356338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179.18549999999999</v>
      </c>
      <c r="CJ294" s="399">
        <v>-33.146459999999962</v>
      </c>
      <c r="CK294" s="399"/>
      <c r="CL294" s="399"/>
      <c r="CM294" s="399"/>
      <c r="CN294" s="399"/>
      <c r="CO294" s="399">
        <v>-29.134559999999983</v>
      </c>
      <c r="CP294" s="399">
        <v>0</v>
      </c>
      <c r="CQ294" s="399">
        <v>30</v>
      </c>
      <c r="CR294" s="399">
        <v>-0.82238592270667965</v>
      </c>
      <c r="CS294" s="399">
        <v>0</v>
      </c>
      <c r="CT294" s="399">
        <v>0</v>
      </c>
      <c r="CU294" s="399">
        <v>0</v>
      </c>
      <c r="CV294" s="399">
        <v>0</v>
      </c>
      <c r="CW294" s="399">
        <v>0</v>
      </c>
      <c r="CX294" s="399">
        <v>0</v>
      </c>
      <c r="CY294" s="399">
        <v>0</v>
      </c>
      <c r="CZ294" s="399">
        <v>-0.17995271397400359</v>
      </c>
      <c r="DA294" s="399">
        <v>0</v>
      </c>
      <c r="DB294" s="399">
        <v>0</v>
      </c>
      <c r="DC294" s="399">
        <v>0</v>
      </c>
      <c r="DD294" s="399">
        <v>0</v>
      </c>
      <c r="DE294" s="399">
        <v>0</v>
      </c>
      <c r="DF294" s="399">
        <v>0</v>
      </c>
      <c r="DG294" s="399">
        <v>0</v>
      </c>
      <c r="DH294" s="399">
        <v>0</v>
      </c>
      <c r="DI294" s="399">
        <v>-0.55229027528492569</v>
      </c>
      <c r="DJ294" s="399"/>
      <c r="DK294" s="399">
        <v>0</v>
      </c>
      <c r="DL294" s="399">
        <v>0</v>
      </c>
      <c r="DM294" s="399">
        <v>0</v>
      </c>
      <c r="DN294" s="399">
        <v>0</v>
      </c>
      <c r="DO294" s="399">
        <v>-7.3776961713946321E-2</v>
      </c>
      <c r="DP294" s="399">
        <v>-1.636597173380816E-2</v>
      </c>
      <c r="DQ294" s="399">
        <v>0</v>
      </c>
      <c r="DR294" s="399">
        <v>0</v>
      </c>
      <c r="DS294" s="399"/>
      <c r="DT294" s="399"/>
      <c r="DU294" s="399"/>
      <c r="DV294" s="399">
        <v>159.32871291353362</v>
      </c>
      <c r="DW294" s="399">
        <v>0</v>
      </c>
      <c r="DX294" s="399">
        <v>0</v>
      </c>
      <c r="DY294" s="399">
        <v>-29.134559999999993</v>
      </c>
      <c r="DZ294" s="399">
        <v>0</v>
      </c>
      <c r="EA294" s="399">
        <v>0</v>
      </c>
      <c r="EB294" s="399">
        <v>0</v>
      </c>
      <c r="EC294" s="399">
        <v>-28.31175118993184</v>
      </c>
      <c r="ED294" s="399">
        <v>0</v>
      </c>
      <c r="EE294" s="399">
        <v>0</v>
      </c>
      <c r="EF294" s="399">
        <v>0</v>
      </c>
      <c r="EG294" s="399">
        <v>0</v>
      </c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>
        <v>0</v>
      </c>
      <c r="EN294" s="399">
        <v>0</v>
      </c>
      <c r="EO294" s="399">
        <v>0</v>
      </c>
      <c r="EP294" s="399">
        <v>0</v>
      </c>
      <c r="EQ294" s="399">
        <v>0</v>
      </c>
      <c r="ER294" s="399">
        <v>0</v>
      </c>
      <c r="ES294" s="399">
        <v>0</v>
      </c>
      <c r="ET294" s="399">
        <v>0</v>
      </c>
      <c r="EU294" s="399">
        <v>0</v>
      </c>
      <c r="EV294" s="399">
        <v>229</v>
      </c>
      <c r="EW294" s="399">
        <v>0</v>
      </c>
      <c r="EX294" s="399">
        <v>0</v>
      </c>
      <c r="EY294" s="399">
        <v>0</v>
      </c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293</v>
      </c>
      <c r="B295" s="399" t="s">
        <v>954</v>
      </c>
      <c r="C295" s="399" t="s">
        <v>2345</v>
      </c>
      <c r="D295" s="399" t="s">
        <v>1822</v>
      </c>
      <c r="E295" s="399" t="s">
        <v>888</v>
      </c>
      <c r="F295" s="399" t="s">
        <v>1237</v>
      </c>
      <c r="G295" s="399" t="s">
        <v>1237</v>
      </c>
      <c r="H295" s="399" t="s">
        <v>1237</v>
      </c>
      <c r="I295" s="399" t="s">
        <v>2322</v>
      </c>
      <c r="J295" s="399" t="s">
        <v>2337</v>
      </c>
      <c r="K295" s="788">
        <v>44713</v>
      </c>
      <c r="L295" s="399">
        <v>0</v>
      </c>
      <c r="M295" s="399">
        <v>0</v>
      </c>
      <c r="N295" s="399">
        <v>34.933</v>
      </c>
      <c r="O295" s="399">
        <v>34.933</v>
      </c>
      <c r="P295" s="399">
        <v>34.933</v>
      </c>
      <c r="Q295" s="399">
        <v>34.933</v>
      </c>
      <c r="R295" s="399"/>
      <c r="S295" s="399">
        <v>509.72</v>
      </c>
      <c r="T295" s="399">
        <v>119.97</v>
      </c>
      <c r="U295" s="399"/>
      <c r="V295" s="399">
        <v>21996.960770000002</v>
      </c>
      <c r="W295" s="399">
        <v>21996.960770000002</v>
      </c>
      <c r="X295" s="399">
        <v>19589.02908</v>
      </c>
      <c r="Y295" s="399">
        <v>0</v>
      </c>
      <c r="Z295" s="399">
        <v>2127.2408283025393</v>
      </c>
      <c r="AA295" s="399">
        <v>0</v>
      </c>
      <c r="AB295" s="399">
        <v>0</v>
      </c>
      <c r="AC295" s="399">
        <v>0</v>
      </c>
      <c r="AD295" s="399">
        <v>2554.2774486275066</v>
      </c>
      <c r="AE295" s="399">
        <v>12099.640205293652</v>
      </c>
      <c r="AF295" s="399">
        <v>4191.0462426210888</v>
      </c>
      <c r="AG295" s="399">
        <v>0</v>
      </c>
      <c r="AH295" s="399">
        <v>0</v>
      </c>
      <c r="AI295" s="399">
        <v>0</v>
      </c>
      <c r="AJ295" s="399">
        <v>0</v>
      </c>
      <c r="AK295" s="399">
        <v>0</v>
      </c>
      <c r="AL295" s="399">
        <v>328.7274216740845</v>
      </c>
      <c r="AM295" s="399"/>
      <c r="AN295" s="399">
        <v>75.151319275908904</v>
      </c>
      <c r="AO295" s="399">
        <v>0</v>
      </c>
      <c r="AP295" s="399">
        <v>0</v>
      </c>
      <c r="AQ295" s="399">
        <v>0</v>
      </c>
      <c r="AR295" s="399">
        <v>0</v>
      </c>
      <c r="AS295" s="399">
        <v>0</v>
      </c>
      <c r="AT295" s="399">
        <v>0</v>
      </c>
      <c r="AU295" s="399">
        <v>0</v>
      </c>
      <c r="AV295" s="399">
        <v>0</v>
      </c>
      <c r="AW295" s="399">
        <v>0</v>
      </c>
      <c r="AX295" s="399">
        <v>0</v>
      </c>
      <c r="AY295" s="399">
        <v>0</v>
      </c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>
        <v>0</v>
      </c>
      <c r="BG295" s="399">
        <v>620.84372102016107</v>
      </c>
      <c r="BH295" s="399">
        <v>0</v>
      </c>
      <c r="BI295" s="399">
        <v>0</v>
      </c>
      <c r="BJ295" s="399">
        <v>0</v>
      </c>
      <c r="BK295" s="399">
        <v>0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>
        <v>4811.8899636412498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19587.346799999999</v>
      </c>
      <c r="CJ295" s="399">
        <v>-2409.6439699999974</v>
      </c>
      <c r="CK295" s="399"/>
      <c r="CL295" s="399"/>
      <c r="CM295" s="399"/>
      <c r="CN295" s="399"/>
      <c r="CO295" s="399">
        <v>-2407.9316900000003</v>
      </c>
      <c r="CP295" s="399">
        <v>0</v>
      </c>
      <c r="CQ295" s="399">
        <v>30</v>
      </c>
      <c r="CR295" s="399">
        <v>-257.60192295770867</v>
      </c>
      <c r="CS295" s="399">
        <v>0</v>
      </c>
      <c r="CT295" s="399">
        <v>0</v>
      </c>
      <c r="CU295" s="399">
        <v>0</v>
      </c>
      <c r="CV295" s="399">
        <v>0</v>
      </c>
      <c r="CW295" s="399">
        <v>0</v>
      </c>
      <c r="CX295" s="399">
        <v>0</v>
      </c>
      <c r="CY295" s="399">
        <v>0</v>
      </c>
      <c r="CZ295" s="399">
        <v>-13.665843820113878</v>
      </c>
      <c r="DA295" s="399">
        <v>0</v>
      </c>
      <c r="DB295" s="399">
        <v>0</v>
      </c>
      <c r="DC295" s="399">
        <v>0</v>
      </c>
      <c r="DD295" s="399">
        <v>0</v>
      </c>
      <c r="DE295" s="399">
        <v>0</v>
      </c>
      <c r="DF295" s="399">
        <v>0</v>
      </c>
      <c r="DG295" s="399">
        <v>0</v>
      </c>
      <c r="DH295" s="399">
        <v>0</v>
      </c>
      <c r="DI295" s="399">
        <v>-209.70821941878603</v>
      </c>
      <c r="DJ295" s="399"/>
      <c r="DK295" s="399">
        <v>0</v>
      </c>
      <c r="DL295" s="399">
        <v>0</v>
      </c>
      <c r="DM295" s="399">
        <v>0</v>
      </c>
      <c r="DN295" s="399">
        <v>0</v>
      </c>
      <c r="DO295" s="399">
        <v>-28.013593516883589</v>
      </c>
      <c r="DP295" s="399">
        <v>-6.2142662019252271</v>
      </c>
      <c r="DQ295" s="399">
        <v>0</v>
      </c>
      <c r="DR295" s="399">
        <v>0</v>
      </c>
      <c r="DS295" s="399"/>
      <c r="DT295" s="399"/>
      <c r="DU295" s="399"/>
      <c r="DV295" s="399">
        <v>12099.640205293652</v>
      </c>
      <c r="DW295" s="399">
        <v>0</v>
      </c>
      <c r="DX295" s="399">
        <v>0</v>
      </c>
      <c r="DY295" s="399">
        <v>-2407.9316900000013</v>
      </c>
      <c r="DZ295" s="399">
        <v>0</v>
      </c>
      <c r="EA295" s="399">
        <v>0</v>
      </c>
      <c r="EB295" s="399">
        <v>0</v>
      </c>
      <c r="EC295" s="399">
        <v>-2150.0330776278552</v>
      </c>
      <c r="ED295" s="399">
        <v>0</v>
      </c>
      <c r="EE295" s="399">
        <v>0</v>
      </c>
      <c r="EF295" s="399">
        <v>0</v>
      </c>
      <c r="EG295" s="399">
        <v>0</v>
      </c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>
        <v>0</v>
      </c>
      <c r="EN295" s="399">
        <v>0</v>
      </c>
      <c r="EO295" s="399">
        <v>0</v>
      </c>
      <c r="EP295" s="399">
        <v>0</v>
      </c>
      <c r="EQ295" s="399">
        <v>0</v>
      </c>
      <c r="ER295" s="399">
        <v>0</v>
      </c>
      <c r="ES295" s="399">
        <v>0</v>
      </c>
      <c r="ET295" s="399">
        <v>0</v>
      </c>
      <c r="EU295" s="399">
        <v>0</v>
      </c>
      <c r="EV295" s="399">
        <v>229</v>
      </c>
      <c r="EW295" s="399">
        <v>0</v>
      </c>
      <c r="EX295" s="399">
        <v>0</v>
      </c>
      <c r="EY295" s="399">
        <v>0</v>
      </c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294</v>
      </c>
      <c r="B296" s="399" t="s">
        <v>954</v>
      </c>
      <c r="C296" s="399" t="s">
        <v>2345</v>
      </c>
      <c r="D296" s="399" t="s">
        <v>1822</v>
      </c>
      <c r="E296" s="399" t="s">
        <v>888</v>
      </c>
      <c r="F296" s="399" t="s">
        <v>1237</v>
      </c>
      <c r="G296" s="399" t="s">
        <v>1237</v>
      </c>
      <c r="H296" s="399" t="s">
        <v>1237</v>
      </c>
      <c r="I296" s="399" t="s">
        <v>1237</v>
      </c>
      <c r="J296" s="399" t="s">
        <v>2337</v>
      </c>
      <c r="K296" s="788">
        <v>44713</v>
      </c>
      <c r="L296" s="399">
        <v>0</v>
      </c>
      <c r="M296" s="399">
        <v>0</v>
      </c>
      <c r="N296" s="399">
        <v>0</v>
      </c>
      <c r="O296" s="399">
        <v>0</v>
      </c>
      <c r="P296" s="399">
        <v>0</v>
      </c>
      <c r="Q296" s="399">
        <v>0</v>
      </c>
      <c r="R296" s="399"/>
      <c r="S296" s="399"/>
      <c r="T296" s="399"/>
      <c r="U296" s="399"/>
      <c r="V296" s="399"/>
      <c r="W296" s="399"/>
      <c r="X296" s="399"/>
      <c r="Y296" s="399"/>
      <c r="Z296" s="399"/>
      <c r="AA296" s="399">
        <v>0</v>
      </c>
      <c r="AB296" s="399"/>
      <c r="AC296" s="399"/>
      <c r="AD296" s="399"/>
      <c r="AE296" s="399"/>
      <c r="AF296" s="399"/>
      <c r="AG296" s="399"/>
      <c r="AH296" s="399"/>
      <c r="AI296" s="399"/>
      <c r="AJ296" s="399"/>
      <c r="AK296" s="399"/>
      <c r="AL296" s="399"/>
      <c r="AM296" s="399"/>
      <c r="AN296" s="399"/>
      <c r="AO296" s="399"/>
      <c r="AP296" s="399"/>
      <c r="AQ296" s="399"/>
      <c r="AR296" s="399"/>
      <c r="AS296" s="399"/>
      <c r="AT296" s="399"/>
      <c r="AU296" s="399"/>
      <c r="AV296" s="399"/>
      <c r="AW296" s="399"/>
      <c r="AX296" s="399"/>
      <c r="AY296" s="399"/>
      <c r="AZ296" s="399">
        <v>0</v>
      </c>
      <c r="BA296" s="399"/>
      <c r="BB296" s="399"/>
      <c r="BC296" s="399"/>
      <c r="BD296" s="399"/>
      <c r="BE296" s="399"/>
      <c r="BF296" s="399"/>
      <c r="BG296" s="399"/>
      <c r="BH296" s="399"/>
      <c r="BI296" s="399">
        <v>0</v>
      </c>
      <c r="BJ296" s="399">
        <v>0</v>
      </c>
      <c r="BK296" s="399">
        <v>6691.02</v>
      </c>
      <c r="BL296" s="399">
        <v>7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/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/>
      <c r="CJ296" s="399">
        <v>-0.03</v>
      </c>
      <c r="CK296" s="399"/>
      <c r="CL296" s="399"/>
      <c r="CM296" s="399"/>
      <c r="CN296" s="399"/>
      <c r="CO296" s="399">
        <v>0</v>
      </c>
      <c r="CP296" s="399">
        <v>0</v>
      </c>
      <c r="CQ296" s="399">
        <v>30</v>
      </c>
      <c r="CR296" s="399"/>
      <c r="CS296" s="399"/>
      <c r="CT296" s="399"/>
      <c r="CU296" s="399"/>
      <c r="CV296" s="399"/>
      <c r="CW296" s="399"/>
      <c r="CX296" s="399"/>
      <c r="CY296" s="399"/>
      <c r="CZ296" s="399"/>
      <c r="DA296" s="399"/>
      <c r="DB296" s="399"/>
      <c r="DC296" s="399"/>
      <c r="DD296" s="399"/>
      <c r="DE296" s="399"/>
      <c r="DF296" s="399"/>
      <c r="DG296" s="399"/>
      <c r="DH296" s="399"/>
      <c r="DI296" s="399"/>
      <c r="DJ296" s="399"/>
      <c r="DK296" s="399">
        <v>0</v>
      </c>
      <c r="DL296" s="399"/>
      <c r="DM296" s="399"/>
      <c r="DN296" s="399"/>
      <c r="DO296" s="399"/>
      <c r="DP296" s="399"/>
      <c r="DQ296" s="399"/>
      <c r="DR296" s="399"/>
      <c r="DS296" s="399"/>
      <c r="DT296" s="399"/>
      <c r="DU296" s="399"/>
      <c r="DV296" s="399"/>
      <c r="DW296" s="399"/>
      <c r="DX296" s="399"/>
      <c r="DY296" s="399"/>
      <c r="DZ296" s="399"/>
      <c r="EA296" s="399"/>
      <c r="EB296" s="399"/>
      <c r="EC296" s="399"/>
      <c r="ED296" s="399"/>
      <c r="EE296" s="399"/>
      <c r="EF296" s="399"/>
      <c r="EG296" s="399"/>
      <c r="EH296" s="399"/>
      <c r="EI296" s="399"/>
      <c r="EJ296" s="399"/>
      <c r="EK296" s="399"/>
      <c r="EL296" s="399"/>
      <c r="EM296" s="399"/>
      <c r="EN296" s="399"/>
      <c r="EO296" s="399"/>
      <c r="EP296" s="399"/>
      <c r="EQ296" s="399"/>
      <c r="ER296" s="399"/>
      <c r="ES296" s="399"/>
      <c r="ET296" s="399"/>
      <c r="EU296" s="399"/>
      <c r="EV296" s="399">
        <v>229</v>
      </c>
      <c r="EW296" s="399"/>
      <c r="EX296" s="399"/>
      <c r="EY296" s="399"/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295</v>
      </c>
      <c r="B297" s="399" t="s">
        <v>2339</v>
      </c>
      <c r="C297" s="399" t="s">
        <v>2345</v>
      </c>
      <c r="D297" s="399" t="s">
        <v>1822</v>
      </c>
      <c r="E297" s="399" t="s">
        <v>888</v>
      </c>
      <c r="F297" s="399" t="s">
        <v>1237</v>
      </c>
      <c r="G297" s="399" t="s">
        <v>1237</v>
      </c>
      <c r="H297" s="399" t="s">
        <v>1237</v>
      </c>
      <c r="I297" s="399" t="s">
        <v>1237</v>
      </c>
      <c r="J297" s="399" t="s">
        <v>2337</v>
      </c>
      <c r="K297" s="788">
        <v>44713</v>
      </c>
      <c r="L297" s="399">
        <v>0</v>
      </c>
      <c r="M297" s="399">
        <v>0</v>
      </c>
      <c r="N297" s="399">
        <v>0</v>
      </c>
      <c r="O297" s="399">
        <v>0</v>
      </c>
      <c r="P297" s="399">
        <v>0</v>
      </c>
      <c r="Q297" s="399">
        <v>0</v>
      </c>
      <c r="R297" s="399"/>
      <c r="S297" s="399"/>
      <c r="T297" s="399"/>
      <c r="U297" s="399"/>
      <c r="V297" s="399"/>
      <c r="W297" s="399"/>
      <c r="X297" s="399"/>
      <c r="Y297" s="399"/>
      <c r="Z297" s="399"/>
      <c r="AA297" s="399">
        <v>0</v>
      </c>
      <c r="AB297" s="399"/>
      <c r="AC297" s="399"/>
      <c r="AD297" s="399"/>
      <c r="AE297" s="399"/>
      <c r="AF297" s="399"/>
      <c r="AG297" s="399"/>
      <c r="AH297" s="399"/>
      <c r="AI297" s="399"/>
      <c r="AJ297" s="399"/>
      <c r="AK297" s="399"/>
      <c r="AL297" s="399"/>
      <c r="AM297" s="399"/>
      <c r="AN297" s="399"/>
      <c r="AO297" s="399"/>
      <c r="AP297" s="399"/>
      <c r="AQ297" s="399"/>
      <c r="AR297" s="399"/>
      <c r="AS297" s="399"/>
      <c r="AT297" s="399"/>
      <c r="AU297" s="399"/>
      <c r="AV297" s="399"/>
      <c r="AW297" s="399"/>
      <c r="AX297" s="399"/>
      <c r="AY297" s="399"/>
      <c r="AZ297" s="399">
        <v>0</v>
      </c>
      <c r="BA297" s="399"/>
      <c r="BB297" s="399"/>
      <c r="BC297" s="399"/>
      <c r="BD297" s="399"/>
      <c r="BE297" s="399"/>
      <c r="BF297" s="399"/>
      <c r="BG297" s="399"/>
      <c r="BH297" s="399"/>
      <c r="BI297" s="399">
        <v>0</v>
      </c>
      <c r="BJ297" s="399">
        <v>0</v>
      </c>
      <c r="BK297" s="399">
        <v>713.28</v>
      </c>
      <c r="BL297" s="399">
        <v>2</v>
      </c>
      <c r="BM297" s="399"/>
      <c r="BN297" s="399"/>
      <c r="BO297" s="399"/>
      <c r="BP297" s="399"/>
      <c r="BQ297" s="399"/>
      <c r="BR297" s="399"/>
      <c r="BS297" s="399"/>
      <c r="BT297" s="399"/>
      <c r="BU297" s="399"/>
      <c r="BV297" s="399"/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/>
      <c r="CJ297" s="399">
        <v>-0.03</v>
      </c>
      <c r="CK297" s="399"/>
      <c r="CL297" s="399"/>
      <c r="CM297" s="399"/>
      <c r="CN297" s="399"/>
      <c r="CO297" s="399">
        <v>0</v>
      </c>
      <c r="CP297" s="399">
        <v>0</v>
      </c>
      <c r="CQ297" s="399">
        <v>30</v>
      </c>
      <c r="CR297" s="399"/>
      <c r="CS297" s="399"/>
      <c r="CT297" s="399"/>
      <c r="CU297" s="399"/>
      <c r="CV297" s="399"/>
      <c r="CW297" s="399"/>
      <c r="CX297" s="399"/>
      <c r="CY297" s="399"/>
      <c r="CZ297" s="399"/>
      <c r="DA297" s="399"/>
      <c r="DB297" s="399"/>
      <c r="DC297" s="399"/>
      <c r="DD297" s="399"/>
      <c r="DE297" s="399"/>
      <c r="DF297" s="399"/>
      <c r="DG297" s="399"/>
      <c r="DH297" s="399"/>
      <c r="DI297" s="399"/>
      <c r="DJ297" s="399"/>
      <c r="DK297" s="399">
        <v>0</v>
      </c>
      <c r="DL297" s="399"/>
      <c r="DM297" s="399"/>
      <c r="DN297" s="399"/>
      <c r="DO297" s="399"/>
      <c r="DP297" s="399"/>
      <c r="DQ297" s="399"/>
      <c r="DR297" s="399"/>
      <c r="DS297" s="399"/>
      <c r="DT297" s="399"/>
      <c r="DU297" s="399"/>
      <c r="DV297" s="399"/>
      <c r="DW297" s="399"/>
      <c r="DX297" s="399"/>
      <c r="DY297" s="399"/>
      <c r="DZ297" s="399"/>
      <c r="EA297" s="399"/>
      <c r="EB297" s="399"/>
      <c r="EC297" s="399"/>
      <c r="ED297" s="399"/>
      <c r="EE297" s="399"/>
      <c r="EF297" s="399"/>
      <c r="EG297" s="399"/>
      <c r="EH297" s="399"/>
      <c r="EI297" s="399"/>
      <c r="EJ297" s="399"/>
      <c r="EK297" s="399"/>
      <c r="EL297" s="399"/>
      <c r="EM297" s="399"/>
      <c r="EN297" s="399"/>
      <c r="EO297" s="399"/>
      <c r="EP297" s="399"/>
      <c r="EQ297" s="399"/>
      <c r="ER297" s="399"/>
      <c r="ES297" s="399"/>
      <c r="ET297" s="399"/>
      <c r="EU297" s="399"/>
      <c r="EV297" s="399">
        <v>229</v>
      </c>
      <c r="EW297" s="399"/>
      <c r="EX297" s="399"/>
      <c r="EY297" s="399"/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296</v>
      </c>
      <c r="B298" s="399" t="s">
        <v>954</v>
      </c>
      <c r="C298" s="399" t="s">
        <v>2345</v>
      </c>
      <c r="D298" s="399" t="s">
        <v>1822</v>
      </c>
      <c r="E298" s="399" t="s">
        <v>888</v>
      </c>
      <c r="F298" s="399" t="s">
        <v>1237</v>
      </c>
      <c r="G298" s="399" t="s">
        <v>1237</v>
      </c>
      <c r="H298" s="399" t="s">
        <v>1237</v>
      </c>
      <c r="I298" s="399" t="s">
        <v>2346</v>
      </c>
      <c r="J298" s="399" t="s">
        <v>2337</v>
      </c>
      <c r="K298" s="788">
        <v>44713</v>
      </c>
      <c r="L298" s="399">
        <v>0</v>
      </c>
      <c r="M298" s="399">
        <v>0</v>
      </c>
      <c r="N298" s="399">
        <v>0.23599999999999999</v>
      </c>
      <c r="O298" s="399">
        <v>0.23599999999999999</v>
      </c>
      <c r="P298" s="399">
        <v>0.23599999999999999</v>
      </c>
      <c r="Q298" s="399">
        <v>0.23599999999999999</v>
      </c>
      <c r="R298" s="399"/>
      <c r="S298" s="399">
        <v>1348.63</v>
      </c>
      <c r="T298" s="399">
        <v>119.97</v>
      </c>
      <c r="U298" s="399"/>
      <c r="V298" s="399">
        <v>346.58960000000002</v>
      </c>
      <c r="W298" s="399">
        <v>346.58960000000002</v>
      </c>
      <c r="X298" s="399">
        <v>301.08879999999999</v>
      </c>
      <c r="Y298" s="399">
        <v>0</v>
      </c>
      <c r="Z298" s="399">
        <v>14.371191580436815</v>
      </c>
      <c r="AA298" s="399">
        <v>0</v>
      </c>
      <c r="AB298" s="399">
        <v>0</v>
      </c>
      <c r="AC298" s="399">
        <v>0</v>
      </c>
      <c r="AD298" s="399">
        <v>51.754055257942341</v>
      </c>
      <c r="AE298" s="399">
        <v>245.22764882599984</v>
      </c>
      <c r="AF298" s="399">
        <v>28.313826847352843</v>
      </c>
      <c r="AG298" s="399">
        <v>0</v>
      </c>
      <c r="AH298" s="399">
        <v>0</v>
      </c>
      <c r="AI298" s="399">
        <v>0</v>
      </c>
      <c r="AJ298" s="399">
        <v>0</v>
      </c>
      <c r="AK298" s="399">
        <v>0</v>
      </c>
      <c r="AL298" s="399">
        <v>2.2208133144901363</v>
      </c>
      <c r="AM298" s="399"/>
      <c r="AN298" s="399">
        <v>0.50770650528481664</v>
      </c>
      <c r="AO298" s="399">
        <v>0</v>
      </c>
      <c r="AP298" s="399">
        <v>0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>
        <v>0</v>
      </c>
      <c r="BG298" s="399">
        <v>4.1942895875177628</v>
      </c>
      <c r="BH298" s="399">
        <v>0</v>
      </c>
      <c r="BI298" s="399">
        <v>0</v>
      </c>
      <c r="BJ298" s="399">
        <v>0</v>
      </c>
      <c r="BK298" s="399">
        <v>0</v>
      </c>
      <c r="BL298" s="399">
        <v>0</v>
      </c>
      <c r="BM298" s="399"/>
      <c r="BN298" s="399"/>
      <c r="BO298" s="399"/>
      <c r="BP298" s="399"/>
      <c r="BQ298" s="399"/>
      <c r="BR298" s="399"/>
      <c r="BS298" s="399"/>
      <c r="BT298" s="399"/>
      <c r="BU298" s="399"/>
      <c r="BV298" s="399">
        <v>32.508116434870608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306.19199999999995</v>
      </c>
      <c r="CJ298" s="399">
        <v>-40.427600000000041</v>
      </c>
      <c r="CK298" s="399"/>
      <c r="CL298" s="399"/>
      <c r="CM298" s="399"/>
      <c r="CN298" s="399"/>
      <c r="CO298" s="399">
        <v>-45.500800000000041</v>
      </c>
      <c r="CP298" s="399">
        <v>0</v>
      </c>
      <c r="CQ298" s="399">
        <v>30</v>
      </c>
      <c r="CR298" s="399">
        <v>-1.9248743450742154</v>
      </c>
      <c r="CS298" s="399">
        <v>0</v>
      </c>
      <c r="CT298" s="399">
        <v>0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-0.27689350528170564</v>
      </c>
      <c r="DA298" s="399">
        <v>0</v>
      </c>
      <c r="DB298" s="399">
        <v>0</v>
      </c>
      <c r="DC298" s="399">
        <v>0</v>
      </c>
      <c r="DD298" s="399">
        <v>0</v>
      </c>
      <c r="DE298" s="399">
        <v>0</v>
      </c>
      <c r="DF298" s="399">
        <v>0</v>
      </c>
      <c r="DG298" s="399">
        <v>0</v>
      </c>
      <c r="DH298" s="399">
        <v>0</v>
      </c>
      <c r="DI298" s="399">
        <v>-1.4167446192091582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-0.18925394526621009</v>
      </c>
      <c r="DP298" s="399">
        <v>-4.1982275317160034E-2</v>
      </c>
      <c r="DQ298" s="399">
        <v>0</v>
      </c>
      <c r="DR298" s="399">
        <v>0</v>
      </c>
      <c r="DS298" s="399"/>
      <c r="DT298" s="399"/>
      <c r="DU298" s="399"/>
      <c r="DV298" s="399">
        <v>245.22764882599984</v>
      </c>
      <c r="DW298" s="399">
        <v>0</v>
      </c>
      <c r="DX298" s="399">
        <v>0</v>
      </c>
      <c r="DY298" s="399">
        <v>-45.500800000000027</v>
      </c>
      <c r="DZ298" s="399">
        <v>0</v>
      </c>
      <c r="EA298" s="399">
        <v>0</v>
      </c>
      <c r="EB298" s="399">
        <v>0</v>
      </c>
      <c r="EC298" s="399">
        <v>-43.575473946253368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0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229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297</v>
      </c>
      <c r="B299" s="399" t="s">
        <v>954</v>
      </c>
      <c r="C299" s="399" t="s">
        <v>2336</v>
      </c>
      <c r="D299" s="399" t="s">
        <v>1822</v>
      </c>
      <c r="E299" s="399" t="s">
        <v>916</v>
      </c>
      <c r="F299" s="399" t="s">
        <v>1237</v>
      </c>
      <c r="G299" s="399" t="s">
        <v>1237</v>
      </c>
      <c r="H299" s="399" t="s">
        <v>1237</v>
      </c>
      <c r="I299" s="399" t="s">
        <v>1237</v>
      </c>
      <c r="J299" s="399" t="s">
        <v>2337</v>
      </c>
      <c r="K299" s="788">
        <v>44713</v>
      </c>
      <c r="L299" s="399">
        <v>0</v>
      </c>
      <c r="M299" s="399">
        <v>0</v>
      </c>
      <c r="N299" s="399">
        <v>84.881</v>
      </c>
      <c r="O299" s="399">
        <v>84.881</v>
      </c>
      <c r="P299" s="399">
        <v>84.881</v>
      </c>
      <c r="Q299" s="399">
        <v>84.881</v>
      </c>
      <c r="R299" s="399"/>
      <c r="S299" s="399">
        <v>707.13</v>
      </c>
      <c r="T299" s="399">
        <v>119.97</v>
      </c>
      <c r="U299" s="399"/>
      <c r="V299" s="399">
        <v>70205.075100000002</v>
      </c>
      <c r="W299" s="399">
        <v>70205.075100000002</v>
      </c>
      <c r="X299" s="399">
        <v>61880.795429999991</v>
      </c>
      <c r="Y299" s="399">
        <v>0</v>
      </c>
      <c r="Z299" s="399">
        <v>5168.8182734705824</v>
      </c>
      <c r="AA299" s="399">
        <v>0</v>
      </c>
      <c r="AB299" s="399">
        <v>0</v>
      </c>
      <c r="AC299" s="399">
        <v>0</v>
      </c>
      <c r="AD299" s="399">
        <v>9128.0357520927955</v>
      </c>
      <c r="AE299" s="399">
        <v>43235.236445534472</v>
      </c>
      <c r="AF299" s="399">
        <v>10183.499731483715</v>
      </c>
      <c r="AG299" s="399">
        <v>0</v>
      </c>
      <c r="AH299" s="399">
        <v>0</v>
      </c>
      <c r="AI299" s="399">
        <v>0</v>
      </c>
      <c r="AJ299" s="399">
        <v>0</v>
      </c>
      <c r="AK299" s="399">
        <v>0</v>
      </c>
      <c r="AL299" s="399">
        <v>798.74938536964953</v>
      </c>
      <c r="AM299" s="399"/>
      <c r="AN299" s="399">
        <v>182.60438930118866</v>
      </c>
      <c r="AO299" s="399">
        <v>0</v>
      </c>
      <c r="AP299" s="399">
        <v>0</v>
      </c>
      <c r="AQ299" s="399">
        <v>0</v>
      </c>
      <c r="AR299" s="399">
        <v>0</v>
      </c>
      <c r="AS299" s="399">
        <v>0</v>
      </c>
      <c r="AT299" s="399">
        <v>0</v>
      </c>
      <c r="AU299" s="399">
        <v>0</v>
      </c>
      <c r="AV299" s="399">
        <v>0</v>
      </c>
      <c r="AW299" s="399">
        <v>0</v>
      </c>
      <c r="AX299" s="399">
        <v>0</v>
      </c>
      <c r="AY299" s="399">
        <v>0</v>
      </c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>
        <v>0</v>
      </c>
      <c r="BG299" s="399">
        <v>1508.5402308393866</v>
      </c>
      <c r="BH299" s="399">
        <v>0</v>
      </c>
      <c r="BI299" s="399">
        <v>0</v>
      </c>
      <c r="BJ299" s="399">
        <v>0</v>
      </c>
      <c r="BK299" s="399">
        <v>19240.5</v>
      </c>
      <c r="BL299" s="399">
        <v>263</v>
      </c>
      <c r="BM299" s="399"/>
      <c r="BN299" s="399"/>
      <c r="BO299" s="399"/>
      <c r="BP299" s="399"/>
      <c r="BQ299" s="399"/>
      <c r="BR299" s="399"/>
      <c r="BS299" s="399"/>
      <c r="BT299" s="399"/>
      <c r="BU299" s="399"/>
      <c r="BV299" s="399">
        <v>11692.039962323101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61880.066399999989</v>
      </c>
      <c r="CJ299" s="399">
        <v>-8325.0387000000119</v>
      </c>
      <c r="CK299" s="399"/>
      <c r="CL299" s="399"/>
      <c r="CM299" s="399"/>
      <c r="CN299" s="399"/>
      <c r="CO299" s="399">
        <v>-8324.2796700000035</v>
      </c>
      <c r="CP299" s="399">
        <v>0</v>
      </c>
      <c r="CQ299" s="399">
        <v>30</v>
      </c>
      <c r="CR299" s="399">
        <v>-641.55808097023328</v>
      </c>
      <c r="CS299" s="399">
        <v>0</v>
      </c>
      <c r="CT299" s="399">
        <v>0</v>
      </c>
      <c r="CU299" s="399">
        <v>0</v>
      </c>
      <c r="CV299" s="399">
        <v>0</v>
      </c>
      <c r="CW299" s="399">
        <v>0</v>
      </c>
      <c r="CX299" s="399">
        <v>0</v>
      </c>
      <c r="CY299" s="399">
        <v>0</v>
      </c>
      <c r="CZ299" s="399">
        <v>-48.836633248070939</v>
      </c>
      <c r="DA299" s="399">
        <v>0</v>
      </c>
      <c r="DB299" s="399">
        <v>0</v>
      </c>
      <c r="DC299" s="399">
        <v>0</v>
      </c>
      <c r="DD299" s="399">
        <v>0</v>
      </c>
      <c r="DE299" s="399">
        <v>0</v>
      </c>
      <c r="DF299" s="399">
        <v>0</v>
      </c>
      <c r="DG299" s="399">
        <v>0</v>
      </c>
      <c r="DH299" s="399">
        <v>0</v>
      </c>
      <c r="DI299" s="399">
        <v>-509.55381365717221</v>
      </c>
      <c r="DJ299" s="399"/>
      <c r="DK299" s="399">
        <v>0</v>
      </c>
      <c r="DL299" s="399">
        <v>0</v>
      </c>
      <c r="DM299" s="399">
        <v>0</v>
      </c>
      <c r="DN299" s="399">
        <v>0</v>
      </c>
      <c r="DO299" s="399">
        <v>-68.068068339581373</v>
      </c>
      <c r="DP299" s="399">
        <v>-15.099565725406194</v>
      </c>
      <c r="DQ299" s="399">
        <v>0</v>
      </c>
      <c r="DR299" s="399">
        <v>0</v>
      </c>
      <c r="DS299" s="399"/>
      <c r="DT299" s="399"/>
      <c r="DU299" s="399"/>
      <c r="DV299" s="399">
        <v>43235.236445534472</v>
      </c>
      <c r="DW299" s="399">
        <v>0</v>
      </c>
      <c r="DX299" s="399">
        <v>0</v>
      </c>
      <c r="DY299" s="399">
        <v>-8324.2796700000108</v>
      </c>
      <c r="DZ299" s="399">
        <v>0</v>
      </c>
      <c r="EA299" s="399">
        <v>0</v>
      </c>
      <c r="EB299" s="399">
        <v>0</v>
      </c>
      <c r="EC299" s="399">
        <v>-7682.6407149107836</v>
      </c>
      <c r="ED299" s="399">
        <v>0</v>
      </c>
      <c r="EE299" s="399">
        <v>0</v>
      </c>
      <c r="EF299" s="399">
        <v>0</v>
      </c>
      <c r="EG299" s="399">
        <v>0</v>
      </c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>
        <v>0</v>
      </c>
      <c r="EN299" s="399">
        <v>0</v>
      </c>
      <c r="EO299" s="399">
        <v>0</v>
      </c>
      <c r="EP299" s="399">
        <v>0</v>
      </c>
      <c r="EQ299" s="399">
        <v>0</v>
      </c>
      <c r="ER299" s="399">
        <v>0</v>
      </c>
      <c r="ES299" s="399">
        <v>0</v>
      </c>
      <c r="ET299" s="399">
        <v>0</v>
      </c>
      <c r="EU299" s="399">
        <v>0</v>
      </c>
      <c r="EV299" s="399">
        <v>229</v>
      </c>
      <c r="EW299" s="399">
        <v>0</v>
      </c>
      <c r="EX299" s="399">
        <v>0</v>
      </c>
      <c r="EY299" s="399">
        <v>0</v>
      </c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298</v>
      </c>
      <c r="B300" s="399" t="s">
        <v>2338</v>
      </c>
      <c r="C300" s="399" t="s">
        <v>2336</v>
      </c>
      <c r="D300" s="399" t="s">
        <v>1822</v>
      </c>
      <c r="E300" s="399" t="s">
        <v>916</v>
      </c>
      <c r="F300" s="399" t="s">
        <v>1237</v>
      </c>
      <c r="G300" s="399" t="s">
        <v>1237</v>
      </c>
      <c r="H300" s="399" t="s">
        <v>1237</v>
      </c>
      <c r="I300" s="399" t="s">
        <v>1237</v>
      </c>
      <c r="J300" s="399" t="s">
        <v>2337</v>
      </c>
      <c r="K300" s="788">
        <v>44713</v>
      </c>
      <c r="L300" s="399">
        <v>0</v>
      </c>
      <c r="M300" s="399">
        <v>0</v>
      </c>
      <c r="N300" s="399">
        <v>-2.4289999999999998</v>
      </c>
      <c r="O300" s="399">
        <v>-2.4289999999999998</v>
      </c>
      <c r="P300" s="399">
        <v>-2.4289999999999998</v>
      </c>
      <c r="Q300" s="399">
        <v>-2.4289999999999998</v>
      </c>
      <c r="R300" s="399"/>
      <c r="S300" s="399">
        <v>707.13</v>
      </c>
      <c r="T300" s="399">
        <v>119.97</v>
      </c>
      <c r="U300" s="399"/>
      <c r="V300" s="399">
        <v>-2009.0258999999999</v>
      </c>
      <c r="W300" s="399">
        <v>-2009.0258999999999</v>
      </c>
      <c r="X300" s="399">
        <v>-1770.8138699999997</v>
      </c>
      <c r="Y300" s="399">
        <v>0</v>
      </c>
      <c r="Z300" s="399">
        <v>-147.91366249525856</v>
      </c>
      <c r="AA300" s="399">
        <v>0</v>
      </c>
      <c r="AB300" s="399">
        <v>0</v>
      </c>
      <c r="AC300" s="399">
        <v>0</v>
      </c>
      <c r="AD300" s="399">
        <v>-261.21274303829358</v>
      </c>
      <c r="AE300" s="399">
        <v>-1237.2426023044407</v>
      </c>
      <c r="AF300" s="399">
        <v>-291.4164636111019</v>
      </c>
      <c r="AG300" s="399">
        <v>0</v>
      </c>
      <c r="AH300" s="399">
        <v>0</v>
      </c>
      <c r="AI300" s="399">
        <v>0</v>
      </c>
      <c r="AJ300" s="399">
        <v>0</v>
      </c>
      <c r="AK300" s="399">
        <v>0</v>
      </c>
      <c r="AL300" s="399">
        <v>-22.857438732612462</v>
      </c>
      <c r="AM300" s="399"/>
      <c r="AN300" s="399">
        <v>-5.2255046666814389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-43.169192407121379</v>
      </c>
      <c r="BH300" s="399">
        <v>0</v>
      </c>
      <c r="BI300" s="399">
        <v>0</v>
      </c>
      <c r="BJ300" s="399">
        <v>0</v>
      </c>
      <c r="BK300" s="399">
        <v>-590.27</v>
      </c>
      <c r="BL300" s="399">
        <v>0</v>
      </c>
      <c r="BM300" s="399"/>
      <c r="BN300" s="399"/>
      <c r="BO300" s="399"/>
      <c r="BP300" s="399"/>
      <c r="BQ300" s="399"/>
      <c r="BR300" s="399"/>
      <c r="BS300" s="399"/>
      <c r="BT300" s="399"/>
      <c r="BU300" s="399"/>
      <c r="BV300" s="399">
        <v>-334.58565601822329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-1771.5428999999999</v>
      </c>
      <c r="CJ300" s="399">
        <v>237.45299999999997</v>
      </c>
      <c r="CK300" s="399"/>
      <c r="CL300" s="399"/>
      <c r="CM300" s="399"/>
      <c r="CN300" s="399"/>
      <c r="CO300" s="399">
        <v>238.21203000000011</v>
      </c>
      <c r="CP300" s="399">
        <v>0</v>
      </c>
      <c r="CQ300" s="399">
        <v>30</v>
      </c>
      <c r="CR300" s="399">
        <v>18.359168467344603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1.3975351628699286</v>
      </c>
      <c r="DA300" s="399">
        <v>0</v>
      </c>
      <c r="DB300" s="399">
        <v>0</v>
      </c>
      <c r="DC300" s="399">
        <v>0</v>
      </c>
      <c r="DD300" s="399">
        <v>0</v>
      </c>
      <c r="DE300" s="399">
        <v>0</v>
      </c>
      <c r="DF300" s="399">
        <v>0</v>
      </c>
      <c r="DG300" s="399">
        <v>0</v>
      </c>
      <c r="DH300" s="399">
        <v>0</v>
      </c>
      <c r="DI300" s="399">
        <v>14.581663898555263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1.9478721739475588</v>
      </c>
      <c r="DP300" s="399">
        <v>0.43209723197195604</v>
      </c>
      <c r="DQ300" s="399">
        <v>0</v>
      </c>
      <c r="DR300" s="399">
        <v>0</v>
      </c>
      <c r="DS300" s="399"/>
      <c r="DT300" s="399"/>
      <c r="DU300" s="399"/>
      <c r="DV300" s="399">
        <v>-1237.2426023044407</v>
      </c>
      <c r="DW300" s="399">
        <v>0</v>
      </c>
      <c r="DX300" s="399">
        <v>0</v>
      </c>
      <c r="DY300" s="399">
        <v>238.21203000000014</v>
      </c>
      <c r="DZ300" s="399">
        <v>0</v>
      </c>
      <c r="EA300" s="399">
        <v>0</v>
      </c>
      <c r="EB300" s="399">
        <v>0</v>
      </c>
      <c r="EC300" s="399">
        <v>219.85054719570098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0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229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299</v>
      </c>
      <c r="B301" s="399" t="s">
        <v>2339</v>
      </c>
      <c r="C301" s="399" t="s">
        <v>2336</v>
      </c>
      <c r="D301" s="399" t="s">
        <v>1822</v>
      </c>
      <c r="E301" s="399" t="s">
        <v>916</v>
      </c>
      <c r="F301" s="399" t="s">
        <v>1237</v>
      </c>
      <c r="G301" s="399" t="s">
        <v>1237</v>
      </c>
      <c r="H301" s="399" t="s">
        <v>1237</v>
      </c>
      <c r="I301" s="399" t="s">
        <v>1237</v>
      </c>
      <c r="J301" s="399" t="s">
        <v>2337</v>
      </c>
      <c r="K301" s="788">
        <v>44713</v>
      </c>
      <c r="L301" s="399">
        <v>0</v>
      </c>
      <c r="M301" s="399">
        <v>0</v>
      </c>
      <c r="N301" s="399">
        <v>16.899999999999999</v>
      </c>
      <c r="O301" s="399">
        <v>16.899999999999999</v>
      </c>
      <c r="P301" s="399">
        <v>16.899999999999999</v>
      </c>
      <c r="Q301" s="399">
        <v>16.899999999999999</v>
      </c>
      <c r="R301" s="399"/>
      <c r="S301" s="399">
        <v>707.13</v>
      </c>
      <c r="T301" s="399">
        <v>119.97</v>
      </c>
      <c r="U301" s="399"/>
      <c r="V301" s="399">
        <v>13977.99</v>
      </c>
      <c r="W301" s="399">
        <v>13977.99</v>
      </c>
      <c r="X301" s="399">
        <v>12320.606999999998</v>
      </c>
      <c r="Y301" s="399">
        <v>0</v>
      </c>
      <c r="Z301" s="399">
        <v>1029.1234648702634</v>
      </c>
      <c r="AA301" s="399">
        <v>0</v>
      </c>
      <c r="AB301" s="399">
        <v>0</v>
      </c>
      <c r="AC301" s="399">
        <v>0</v>
      </c>
      <c r="AD301" s="399">
        <v>1817.4126625554393</v>
      </c>
      <c r="AE301" s="399">
        <v>8608.2338324187094</v>
      </c>
      <c r="AF301" s="399">
        <v>2027.5579394926399</v>
      </c>
      <c r="AG301" s="399">
        <v>0</v>
      </c>
      <c r="AH301" s="399">
        <v>0</v>
      </c>
      <c r="AI301" s="399">
        <v>0</v>
      </c>
      <c r="AJ301" s="399">
        <v>0</v>
      </c>
      <c r="AK301" s="399">
        <v>0</v>
      </c>
      <c r="AL301" s="399">
        <v>159.03281785967502</v>
      </c>
      <c r="AM301" s="399"/>
      <c r="AN301" s="399">
        <v>36.356948895395767</v>
      </c>
      <c r="AO301" s="399">
        <v>0</v>
      </c>
      <c r="AP301" s="399">
        <v>0</v>
      </c>
      <c r="AQ301" s="399">
        <v>0</v>
      </c>
      <c r="AR301" s="399">
        <v>0</v>
      </c>
      <c r="AS301" s="399">
        <v>0</v>
      </c>
      <c r="AT301" s="399">
        <v>0</v>
      </c>
      <c r="AU301" s="399">
        <v>0</v>
      </c>
      <c r="AV301" s="399">
        <v>0</v>
      </c>
      <c r="AW301" s="399">
        <v>0</v>
      </c>
      <c r="AX301" s="399">
        <v>0</v>
      </c>
      <c r="AY301" s="399">
        <v>0</v>
      </c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>
        <v>0</v>
      </c>
      <c r="BG301" s="399">
        <v>300.35378825868725</v>
      </c>
      <c r="BH301" s="399">
        <v>0</v>
      </c>
      <c r="BI301" s="399">
        <v>0</v>
      </c>
      <c r="BJ301" s="399">
        <v>0</v>
      </c>
      <c r="BK301" s="399">
        <v>6310.07</v>
      </c>
      <c r="BL301" s="399">
        <v>8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>
        <v>2327.9117277513269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12320.606999999998</v>
      </c>
      <c r="CJ301" s="399">
        <v>-1657.4130000000023</v>
      </c>
      <c r="CK301" s="399"/>
      <c r="CL301" s="399"/>
      <c r="CM301" s="399"/>
      <c r="CN301" s="399"/>
      <c r="CO301" s="399">
        <v>-1657.3830000000007</v>
      </c>
      <c r="CP301" s="399">
        <v>0</v>
      </c>
      <c r="CQ301" s="399">
        <v>30</v>
      </c>
      <c r="CR301" s="399">
        <v>-127.73567192183054</v>
      </c>
      <c r="CS301" s="399">
        <v>0</v>
      </c>
      <c r="CT301" s="399">
        <v>0</v>
      </c>
      <c r="CU301" s="399">
        <v>0</v>
      </c>
      <c r="CV301" s="399">
        <v>0</v>
      </c>
      <c r="CW301" s="399">
        <v>0</v>
      </c>
      <c r="CX301" s="399">
        <v>0</v>
      </c>
      <c r="CY301" s="399">
        <v>0</v>
      </c>
      <c r="CZ301" s="399">
        <v>-9.7234846655010188</v>
      </c>
      <c r="DA301" s="399">
        <v>0</v>
      </c>
      <c r="DB301" s="399">
        <v>0</v>
      </c>
      <c r="DC301" s="399">
        <v>0</v>
      </c>
      <c r="DD301" s="399">
        <v>0</v>
      </c>
      <c r="DE301" s="399">
        <v>0</v>
      </c>
      <c r="DF301" s="399">
        <v>0</v>
      </c>
      <c r="DG301" s="399">
        <v>0</v>
      </c>
      <c r="DH301" s="399">
        <v>0</v>
      </c>
      <c r="DI301" s="399">
        <v>-101.45332230777444</v>
      </c>
      <c r="DJ301" s="399"/>
      <c r="DK301" s="399">
        <v>0</v>
      </c>
      <c r="DL301" s="399">
        <v>0</v>
      </c>
      <c r="DM301" s="399">
        <v>0</v>
      </c>
      <c r="DN301" s="399">
        <v>0</v>
      </c>
      <c r="DO301" s="399">
        <v>-13.552507097453201</v>
      </c>
      <c r="DP301" s="399">
        <v>-3.0063578511017184</v>
      </c>
      <c r="DQ301" s="399">
        <v>0</v>
      </c>
      <c r="DR301" s="399">
        <v>0</v>
      </c>
      <c r="DS301" s="399"/>
      <c r="DT301" s="399"/>
      <c r="DU301" s="399"/>
      <c r="DV301" s="399">
        <v>8608.2338324187094</v>
      </c>
      <c r="DW301" s="399">
        <v>0</v>
      </c>
      <c r="DX301" s="399">
        <v>0</v>
      </c>
      <c r="DY301" s="399">
        <v>-1657.3830000000016</v>
      </c>
      <c r="DZ301" s="399">
        <v>0</v>
      </c>
      <c r="EA301" s="399">
        <v>0</v>
      </c>
      <c r="EB301" s="399">
        <v>0</v>
      </c>
      <c r="EC301" s="399">
        <v>-1529.6312258572852</v>
      </c>
      <c r="ED301" s="399">
        <v>0</v>
      </c>
      <c r="EE301" s="399">
        <v>0</v>
      </c>
      <c r="EF301" s="399">
        <v>0</v>
      </c>
      <c r="EG301" s="399">
        <v>0</v>
      </c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>
        <v>0</v>
      </c>
      <c r="EN301" s="399">
        <v>0</v>
      </c>
      <c r="EO301" s="399">
        <v>0</v>
      </c>
      <c r="EP301" s="399">
        <v>0</v>
      </c>
      <c r="EQ301" s="399">
        <v>0</v>
      </c>
      <c r="ER301" s="399">
        <v>0</v>
      </c>
      <c r="ES301" s="399">
        <v>0</v>
      </c>
      <c r="ET301" s="399">
        <v>0</v>
      </c>
      <c r="EU301" s="399">
        <v>0</v>
      </c>
      <c r="EV301" s="399">
        <v>229</v>
      </c>
      <c r="EW301" s="399">
        <v>0</v>
      </c>
      <c r="EX301" s="399">
        <v>0</v>
      </c>
      <c r="EY301" s="399">
        <v>0</v>
      </c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300</v>
      </c>
      <c r="B302" s="399" t="s">
        <v>954</v>
      </c>
      <c r="C302" s="399" t="s">
        <v>2336</v>
      </c>
      <c r="D302" s="399" t="s">
        <v>2347</v>
      </c>
      <c r="E302" s="399" t="s">
        <v>892</v>
      </c>
      <c r="F302" s="399" t="s">
        <v>1237</v>
      </c>
      <c r="G302" s="399" t="s">
        <v>1237</v>
      </c>
      <c r="H302" s="399" t="s">
        <v>1237</v>
      </c>
      <c r="I302" s="399" t="s">
        <v>1237</v>
      </c>
      <c r="J302" s="399" t="s">
        <v>2337</v>
      </c>
      <c r="K302" s="788">
        <v>44713</v>
      </c>
      <c r="L302" s="399">
        <v>0</v>
      </c>
      <c r="M302" s="399">
        <v>0</v>
      </c>
      <c r="N302" s="399">
        <v>269.67599999999999</v>
      </c>
      <c r="O302" s="399">
        <v>269.67599999999999</v>
      </c>
      <c r="P302" s="399">
        <v>269.67599999999999</v>
      </c>
      <c r="Q302" s="399">
        <v>269.67599999999999</v>
      </c>
      <c r="R302" s="399"/>
      <c r="S302" s="399">
        <v>707.13</v>
      </c>
      <c r="T302" s="399">
        <v>119.97</v>
      </c>
      <c r="U302" s="399"/>
      <c r="V302" s="399">
        <v>223049.01959999997</v>
      </c>
      <c r="W302" s="399">
        <v>223049.01959999997</v>
      </c>
      <c r="X302" s="399">
        <v>196601.89427999998</v>
      </c>
      <c r="Y302" s="399">
        <v>0</v>
      </c>
      <c r="Z302" s="399">
        <v>16421.887545109654</v>
      </c>
      <c r="AA302" s="399">
        <v>0</v>
      </c>
      <c r="AB302" s="399">
        <v>0</v>
      </c>
      <c r="AC302" s="399">
        <v>0</v>
      </c>
      <c r="AD302" s="399">
        <v>29000.744212266309</v>
      </c>
      <c r="AE302" s="399">
        <v>137362.96254386674</v>
      </c>
      <c r="AF302" s="399">
        <v>32354.065969859006</v>
      </c>
      <c r="AG302" s="399">
        <v>0</v>
      </c>
      <c r="AH302" s="399">
        <v>0</v>
      </c>
      <c r="AI302" s="399">
        <v>0</v>
      </c>
      <c r="AJ302" s="399">
        <v>0</v>
      </c>
      <c r="AK302" s="399">
        <v>0</v>
      </c>
      <c r="AL302" s="399">
        <v>2537.7120821967883</v>
      </c>
      <c r="AM302" s="399"/>
      <c r="AN302" s="399">
        <v>580.15364203045851</v>
      </c>
      <c r="AO302" s="399">
        <v>0</v>
      </c>
      <c r="AP302" s="399">
        <v>0</v>
      </c>
      <c r="AQ302" s="399">
        <v>0</v>
      </c>
      <c r="AR302" s="399">
        <v>0</v>
      </c>
      <c r="AS302" s="399">
        <v>0</v>
      </c>
      <c r="AT302" s="399">
        <v>0</v>
      </c>
      <c r="AU302" s="399">
        <v>0</v>
      </c>
      <c r="AV302" s="399">
        <v>0</v>
      </c>
      <c r="AW302" s="399">
        <v>0</v>
      </c>
      <c r="AX302" s="399">
        <v>0</v>
      </c>
      <c r="AY302" s="399">
        <v>0</v>
      </c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>
        <v>0</v>
      </c>
      <c r="BG302" s="399">
        <v>4792.7933847603399</v>
      </c>
      <c r="BH302" s="399">
        <v>0</v>
      </c>
      <c r="BI302" s="399">
        <v>0</v>
      </c>
      <c r="BJ302" s="399">
        <v>0</v>
      </c>
      <c r="BK302" s="399">
        <v>36575.22</v>
      </c>
      <c r="BL302" s="399">
        <v>701</v>
      </c>
      <c r="BM302" s="399"/>
      <c r="BN302" s="399"/>
      <c r="BO302" s="399"/>
      <c r="BP302" s="399"/>
      <c r="BQ302" s="399"/>
      <c r="BR302" s="399">
        <v>23591.256479999978</v>
      </c>
      <c r="BS302" s="399"/>
      <c r="BT302" s="399"/>
      <c r="BU302" s="399"/>
      <c r="BV302" s="399">
        <v>37146.859354619344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173013.20400000003</v>
      </c>
      <c r="CJ302" s="399">
        <v>-23273.19935999997</v>
      </c>
      <c r="CK302" s="399"/>
      <c r="CL302" s="399"/>
      <c r="CM302" s="399"/>
      <c r="CN302" s="399"/>
      <c r="CO302" s="399">
        <v>-26447.125320000014</v>
      </c>
      <c r="CP302" s="399">
        <v>0</v>
      </c>
      <c r="CQ302" s="399">
        <v>30</v>
      </c>
      <c r="CR302" s="399">
        <v>-2038.2985243308358</v>
      </c>
      <c r="CS302" s="399">
        <v>0</v>
      </c>
      <c r="CT302" s="399">
        <v>0</v>
      </c>
      <c r="CU302" s="399">
        <v>0</v>
      </c>
      <c r="CV302" s="399">
        <v>0</v>
      </c>
      <c r="CW302" s="399">
        <v>0</v>
      </c>
      <c r="CX302" s="399">
        <v>0</v>
      </c>
      <c r="CY302" s="399">
        <v>0</v>
      </c>
      <c r="CZ302" s="399">
        <v>-155.15919826352911</v>
      </c>
      <c r="DA302" s="399">
        <v>0</v>
      </c>
      <c r="DB302" s="399">
        <v>0</v>
      </c>
      <c r="DC302" s="399">
        <v>0</v>
      </c>
      <c r="DD302" s="399">
        <v>0</v>
      </c>
      <c r="DE302" s="399">
        <v>0</v>
      </c>
      <c r="DF302" s="399">
        <v>0</v>
      </c>
      <c r="DG302" s="399">
        <v>0</v>
      </c>
      <c r="DH302" s="399">
        <v>0</v>
      </c>
      <c r="DI302" s="399">
        <v>-1618.9068725841043</v>
      </c>
      <c r="DJ302" s="399"/>
      <c r="DK302" s="399">
        <v>0</v>
      </c>
      <c r="DL302" s="399">
        <v>0</v>
      </c>
      <c r="DM302" s="399">
        <v>0</v>
      </c>
      <c r="DN302" s="399">
        <v>0</v>
      </c>
      <c r="DO302" s="399">
        <v>-216.2595209475021</v>
      </c>
      <c r="DP302" s="399">
        <v>-47.97293253572218</v>
      </c>
      <c r="DQ302" s="399">
        <v>0</v>
      </c>
      <c r="DR302" s="399">
        <v>0</v>
      </c>
      <c r="DS302" s="399"/>
      <c r="DT302" s="399"/>
      <c r="DU302" s="399"/>
      <c r="DV302" s="399">
        <v>137362.96254386674</v>
      </c>
      <c r="DW302" s="399">
        <v>0</v>
      </c>
      <c r="DX302" s="399">
        <v>0</v>
      </c>
      <c r="DY302" s="399">
        <v>-26447.125319999992</v>
      </c>
      <c r="DZ302" s="399">
        <v>0</v>
      </c>
      <c r="EA302" s="399">
        <v>0</v>
      </c>
      <c r="EB302" s="399">
        <v>0</v>
      </c>
      <c r="EC302" s="399">
        <v>-24408.569849957945</v>
      </c>
      <c r="ED302" s="399">
        <v>0</v>
      </c>
      <c r="EE302" s="399">
        <v>0</v>
      </c>
      <c r="EF302" s="399">
        <v>0</v>
      </c>
      <c r="EG302" s="399">
        <v>0</v>
      </c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>
        <v>0</v>
      </c>
      <c r="EN302" s="399">
        <v>0</v>
      </c>
      <c r="EO302" s="399">
        <v>0</v>
      </c>
      <c r="EP302" s="399">
        <v>0</v>
      </c>
      <c r="EQ302" s="399">
        <v>0</v>
      </c>
      <c r="ER302" s="399">
        <v>0</v>
      </c>
      <c r="ES302" s="399">
        <v>0</v>
      </c>
      <c r="ET302" s="399">
        <v>0</v>
      </c>
      <c r="EU302" s="399">
        <v>0</v>
      </c>
      <c r="EV302" s="399">
        <v>229</v>
      </c>
      <c r="EW302" s="399">
        <v>0</v>
      </c>
      <c r="EX302" s="399">
        <v>0</v>
      </c>
      <c r="EY302" s="399">
        <v>0</v>
      </c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301</v>
      </c>
      <c r="B303" s="399" t="s">
        <v>2339</v>
      </c>
      <c r="C303" s="399" t="s">
        <v>2336</v>
      </c>
      <c r="D303" s="399" t="s">
        <v>2347</v>
      </c>
      <c r="E303" s="399" t="s">
        <v>892</v>
      </c>
      <c r="F303" s="399" t="s">
        <v>1237</v>
      </c>
      <c r="G303" s="399" t="s">
        <v>1237</v>
      </c>
      <c r="H303" s="399" t="s">
        <v>1237</v>
      </c>
      <c r="I303" s="399" t="s">
        <v>1237</v>
      </c>
      <c r="J303" s="399" t="s">
        <v>2337</v>
      </c>
      <c r="K303" s="788">
        <v>44713</v>
      </c>
      <c r="L303" s="399">
        <v>0</v>
      </c>
      <c r="M303" s="399">
        <v>0</v>
      </c>
      <c r="N303" s="399">
        <v>-3.0350000000000001</v>
      </c>
      <c r="O303" s="399">
        <v>-3.0350000000000001</v>
      </c>
      <c r="P303" s="399">
        <v>-3.0350000000000001</v>
      </c>
      <c r="Q303" s="399">
        <v>-3.0350000000000001</v>
      </c>
      <c r="R303" s="399"/>
      <c r="S303" s="399">
        <v>707.13</v>
      </c>
      <c r="T303" s="399">
        <v>119.97</v>
      </c>
      <c r="U303" s="399"/>
      <c r="V303" s="399">
        <v>-2510.2484999999997</v>
      </c>
      <c r="W303" s="399">
        <v>-2510.2484999999997</v>
      </c>
      <c r="X303" s="399">
        <v>-2212.6060499999999</v>
      </c>
      <c r="Y303" s="399">
        <v>0</v>
      </c>
      <c r="Z303" s="399">
        <v>-184.8159595196006</v>
      </c>
      <c r="AA303" s="399">
        <v>0</v>
      </c>
      <c r="AB303" s="399">
        <v>0</v>
      </c>
      <c r="AC303" s="399">
        <v>0</v>
      </c>
      <c r="AD303" s="399">
        <v>-326.38150478436444</v>
      </c>
      <c r="AE303" s="399">
        <v>-1545.916549194721</v>
      </c>
      <c r="AF303" s="399">
        <v>-364.12061221066051</v>
      </c>
      <c r="AG303" s="399">
        <v>0</v>
      </c>
      <c r="AH303" s="399">
        <v>0</v>
      </c>
      <c r="AI303" s="399">
        <v>0</v>
      </c>
      <c r="AJ303" s="399">
        <v>0</v>
      </c>
      <c r="AK303" s="399">
        <v>0</v>
      </c>
      <c r="AL303" s="399">
        <v>-28.56003563337951</v>
      </c>
      <c r="AM303" s="399"/>
      <c r="AN303" s="399">
        <v>-6.5291917099127907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-53.939274992018696</v>
      </c>
      <c r="BH303" s="399">
        <v>0</v>
      </c>
      <c r="BI303" s="399">
        <v>0</v>
      </c>
      <c r="BJ303" s="399">
        <v>0</v>
      </c>
      <c r="BK303" s="399">
        <v>-649.04</v>
      </c>
      <c r="BL303" s="399">
        <v>2</v>
      </c>
      <c r="BM303" s="399"/>
      <c r="BN303" s="399"/>
      <c r="BO303" s="399"/>
      <c r="BP303" s="399"/>
      <c r="BQ303" s="399"/>
      <c r="BR303" s="399">
        <v>-265.50179999999978</v>
      </c>
      <c r="BS303" s="399"/>
      <c r="BT303" s="399"/>
      <c r="BU303" s="399"/>
      <c r="BV303" s="399">
        <v>-418.05988720267919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-1950.3120000000001</v>
      </c>
      <c r="CJ303" s="399">
        <v>258.71309999999971</v>
      </c>
      <c r="CK303" s="399"/>
      <c r="CL303" s="399"/>
      <c r="CM303" s="399"/>
      <c r="CN303" s="399"/>
      <c r="CO303" s="399">
        <v>297.64245000000017</v>
      </c>
      <c r="CP303" s="399">
        <v>0</v>
      </c>
      <c r="CQ303" s="399">
        <v>30</v>
      </c>
      <c r="CR303" s="399">
        <v>22.939512679452946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1.7461997609347009</v>
      </c>
      <c r="DA303" s="399">
        <v>0</v>
      </c>
      <c r="DB303" s="399">
        <v>0</v>
      </c>
      <c r="DC303" s="399">
        <v>0</v>
      </c>
      <c r="DD303" s="399">
        <v>0</v>
      </c>
      <c r="DE303" s="399">
        <v>0</v>
      </c>
      <c r="DF303" s="399">
        <v>0</v>
      </c>
      <c r="DG303" s="399">
        <v>0</v>
      </c>
      <c r="DH303" s="399">
        <v>0</v>
      </c>
      <c r="DI303" s="399">
        <v>18.219575929236441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2.433837813063338</v>
      </c>
      <c r="DP303" s="399">
        <v>0.53989917621856254</v>
      </c>
      <c r="DQ303" s="399">
        <v>0</v>
      </c>
      <c r="DR303" s="399">
        <v>0</v>
      </c>
      <c r="DS303" s="399"/>
      <c r="DT303" s="399"/>
      <c r="DU303" s="399"/>
      <c r="DV303" s="399">
        <v>-1545.916549194721</v>
      </c>
      <c r="DW303" s="399">
        <v>0</v>
      </c>
      <c r="DX303" s="399">
        <v>0</v>
      </c>
      <c r="DY303" s="399">
        <v>297.64245000000005</v>
      </c>
      <c r="DZ303" s="399">
        <v>0</v>
      </c>
      <c r="EA303" s="399">
        <v>0</v>
      </c>
      <c r="EB303" s="399">
        <v>0</v>
      </c>
      <c r="EC303" s="399">
        <v>274.70004559034669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0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229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302</v>
      </c>
      <c r="B304" s="399" t="s">
        <v>2339</v>
      </c>
      <c r="C304" s="399" t="s">
        <v>2336</v>
      </c>
      <c r="D304" s="399" t="s">
        <v>2347</v>
      </c>
      <c r="E304" s="399" t="s">
        <v>892</v>
      </c>
      <c r="F304" s="399" t="s">
        <v>1237</v>
      </c>
      <c r="G304" s="399" t="s">
        <v>1237</v>
      </c>
      <c r="H304" s="399" t="s">
        <v>1237</v>
      </c>
      <c r="I304" s="399" t="s">
        <v>1237</v>
      </c>
      <c r="J304" s="399" t="s">
        <v>2337</v>
      </c>
      <c r="K304" s="788">
        <v>44713</v>
      </c>
      <c r="L304" s="399">
        <v>0</v>
      </c>
      <c r="M304" s="399">
        <v>0</v>
      </c>
      <c r="N304" s="399">
        <v>30.792999999999999</v>
      </c>
      <c r="O304" s="399">
        <v>30.792999999999999</v>
      </c>
      <c r="P304" s="399">
        <v>30.792999999999999</v>
      </c>
      <c r="Q304" s="399">
        <v>30.792999999999999</v>
      </c>
      <c r="R304" s="399"/>
      <c r="S304" s="399">
        <v>707.13</v>
      </c>
      <c r="T304" s="399">
        <v>119.97</v>
      </c>
      <c r="U304" s="399"/>
      <c r="V304" s="399">
        <v>25468.890299999999</v>
      </c>
      <c r="W304" s="399">
        <v>25468.890299999999</v>
      </c>
      <c r="X304" s="399">
        <v>22449.020789999999</v>
      </c>
      <c r="Y304" s="399">
        <v>0</v>
      </c>
      <c r="Z304" s="399">
        <v>1875.1360268491137</v>
      </c>
      <c r="AA304" s="399">
        <v>0</v>
      </c>
      <c r="AB304" s="399">
        <v>0</v>
      </c>
      <c r="AC304" s="399">
        <v>0</v>
      </c>
      <c r="AD304" s="399">
        <v>3311.4549182289729</v>
      </c>
      <c r="AE304" s="399">
        <v>15684.813278205285</v>
      </c>
      <c r="AF304" s="399">
        <v>3694.3545343666783</v>
      </c>
      <c r="AG304" s="399">
        <v>0</v>
      </c>
      <c r="AH304" s="399">
        <v>0</v>
      </c>
      <c r="AI304" s="399">
        <v>0</v>
      </c>
      <c r="AJ304" s="399">
        <v>0</v>
      </c>
      <c r="AK304" s="399">
        <v>0</v>
      </c>
      <c r="AL304" s="399">
        <v>289.76908641141853</v>
      </c>
      <c r="AM304" s="399"/>
      <c r="AN304" s="399">
        <v>66.244942445912542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547.26592910353588</v>
      </c>
      <c r="BH304" s="399">
        <v>0</v>
      </c>
      <c r="BI304" s="399">
        <v>0</v>
      </c>
      <c r="BJ304" s="399">
        <v>0</v>
      </c>
      <c r="BK304" s="399">
        <v>8803.6200000000008</v>
      </c>
      <c r="BL304" s="399">
        <v>16</v>
      </c>
      <c r="BM304" s="399"/>
      <c r="BN304" s="399"/>
      <c r="BO304" s="399"/>
      <c r="BP304" s="399"/>
      <c r="BQ304" s="399"/>
      <c r="BR304" s="399">
        <v>2693.7716399999972</v>
      </c>
      <c r="BS304" s="399"/>
      <c r="BT304" s="399"/>
      <c r="BU304" s="399"/>
      <c r="BV304" s="399">
        <v>4241.6204634702144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19753.324499999999</v>
      </c>
      <c r="CJ304" s="399">
        <v>-2659.6984799999918</v>
      </c>
      <c r="CK304" s="399"/>
      <c r="CL304" s="399"/>
      <c r="CM304" s="399"/>
      <c r="CN304" s="399"/>
      <c r="CO304" s="399">
        <v>-3019.8695100000014</v>
      </c>
      <c r="CP304" s="399">
        <v>0</v>
      </c>
      <c r="CQ304" s="399">
        <v>30</v>
      </c>
      <c r="CR304" s="399">
        <v>-232.74346423011229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-17.716879485489699</v>
      </c>
      <c r="DA304" s="399">
        <v>0</v>
      </c>
      <c r="DB304" s="399">
        <v>0</v>
      </c>
      <c r="DC304" s="399">
        <v>0</v>
      </c>
      <c r="DD304" s="399">
        <v>0</v>
      </c>
      <c r="DE304" s="399">
        <v>0</v>
      </c>
      <c r="DF304" s="399">
        <v>0</v>
      </c>
      <c r="DG304" s="399">
        <v>0</v>
      </c>
      <c r="DH304" s="399">
        <v>0</v>
      </c>
      <c r="DI304" s="399">
        <v>-184.85515703096439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-24.693630239755976</v>
      </c>
      <c r="DP304" s="399">
        <v>-5.4777974739038555</v>
      </c>
      <c r="DQ304" s="399">
        <v>0</v>
      </c>
      <c r="DR304" s="399">
        <v>0</v>
      </c>
      <c r="DS304" s="399"/>
      <c r="DT304" s="399"/>
      <c r="DU304" s="399"/>
      <c r="DV304" s="399">
        <v>15684.813278205285</v>
      </c>
      <c r="DW304" s="399">
        <v>0</v>
      </c>
      <c r="DX304" s="399">
        <v>0</v>
      </c>
      <c r="DY304" s="399">
        <v>-3019.8695100000004</v>
      </c>
      <c r="DZ304" s="399">
        <v>0</v>
      </c>
      <c r="EA304" s="399">
        <v>0</v>
      </c>
      <c r="EB304" s="399">
        <v>0</v>
      </c>
      <c r="EC304" s="399">
        <v>-2787.0967063800817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0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229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303</v>
      </c>
      <c r="B305" s="399" t="s">
        <v>954</v>
      </c>
      <c r="C305" s="399" t="s">
        <v>2336</v>
      </c>
      <c r="D305" s="399" t="s">
        <v>1822</v>
      </c>
      <c r="E305" s="399" t="s">
        <v>2348</v>
      </c>
      <c r="F305" s="399" t="s">
        <v>1237</v>
      </c>
      <c r="G305" s="399" t="s">
        <v>1237</v>
      </c>
      <c r="H305" s="399" t="s">
        <v>1237</v>
      </c>
      <c r="I305" s="399" t="s">
        <v>1237</v>
      </c>
      <c r="J305" s="399" t="s">
        <v>2337</v>
      </c>
      <c r="K305" s="788">
        <v>44713</v>
      </c>
      <c r="L305" s="399">
        <v>0</v>
      </c>
      <c r="M305" s="399">
        <v>0</v>
      </c>
      <c r="N305" s="399">
        <v>28.655999999999999</v>
      </c>
      <c r="O305" s="399">
        <v>28.655999999999999</v>
      </c>
      <c r="P305" s="399">
        <v>28.655999999999999</v>
      </c>
      <c r="Q305" s="399">
        <v>28.655999999999999</v>
      </c>
      <c r="R305" s="399"/>
      <c r="S305" s="399">
        <v>707.13</v>
      </c>
      <c r="T305" s="399">
        <v>119.97</v>
      </c>
      <c r="U305" s="399"/>
      <c r="V305" s="399">
        <v>23701.3776</v>
      </c>
      <c r="W305" s="399">
        <v>23701.3776</v>
      </c>
      <c r="X305" s="399">
        <v>20891.083679999996</v>
      </c>
      <c r="Y305" s="399">
        <v>0</v>
      </c>
      <c r="Z305" s="399">
        <v>1745.0036691906669</v>
      </c>
      <c r="AA305" s="399">
        <v>0</v>
      </c>
      <c r="AB305" s="399">
        <v>0</v>
      </c>
      <c r="AC305" s="399">
        <v>0</v>
      </c>
      <c r="AD305" s="399">
        <v>3081.6436247448914</v>
      </c>
      <c r="AE305" s="399">
        <v>14596.304656910683</v>
      </c>
      <c r="AF305" s="399">
        <v>3437.9704327870468</v>
      </c>
      <c r="AG305" s="399">
        <v>0</v>
      </c>
      <c r="AH305" s="399">
        <v>0</v>
      </c>
      <c r="AI305" s="399">
        <v>0</v>
      </c>
      <c r="AJ305" s="399">
        <v>0</v>
      </c>
      <c r="AK305" s="399">
        <v>0</v>
      </c>
      <c r="AL305" s="399">
        <v>269.65943364419218</v>
      </c>
      <c r="AM305" s="399"/>
      <c r="AN305" s="399">
        <v>61.647617014583496</v>
      </c>
      <c r="AO305" s="399">
        <v>0</v>
      </c>
      <c r="AP305" s="399">
        <v>0</v>
      </c>
      <c r="AQ305" s="399">
        <v>0</v>
      </c>
      <c r="AR305" s="399">
        <v>0</v>
      </c>
      <c r="AS305" s="399">
        <v>0</v>
      </c>
      <c r="AT305" s="399">
        <v>0</v>
      </c>
      <c r="AU305" s="399">
        <v>0</v>
      </c>
      <c r="AV305" s="399">
        <v>0</v>
      </c>
      <c r="AW305" s="399">
        <v>0</v>
      </c>
      <c r="AX305" s="399">
        <v>0</v>
      </c>
      <c r="AY305" s="399">
        <v>0</v>
      </c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>
        <v>0</v>
      </c>
      <c r="BG305" s="399">
        <v>509.28628144029244</v>
      </c>
      <c r="BH305" s="399">
        <v>0</v>
      </c>
      <c r="BI305" s="399">
        <v>0</v>
      </c>
      <c r="BJ305" s="399">
        <v>0</v>
      </c>
      <c r="BK305" s="399">
        <v>6551.83</v>
      </c>
      <c r="BL305" s="399">
        <v>83</v>
      </c>
      <c r="BM305" s="399"/>
      <c r="BN305" s="399"/>
      <c r="BO305" s="399"/>
      <c r="BP305" s="399"/>
      <c r="BQ305" s="399"/>
      <c r="BR305" s="399"/>
      <c r="BS305" s="399"/>
      <c r="BT305" s="399"/>
      <c r="BU305" s="399"/>
      <c r="BV305" s="399">
        <v>3947.2567142273392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20893.999799999998</v>
      </c>
      <c r="CJ305" s="399">
        <v>-2807.4077999999972</v>
      </c>
      <c r="CK305" s="399"/>
      <c r="CL305" s="399"/>
      <c r="CM305" s="399"/>
      <c r="CN305" s="399"/>
      <c r="CO305" s="399">
        <v>-2810.2939200000014</v>
      </c>
      <c r="CP305" s="399">
        <v>0</v>
      </c>
      <c r="CQ305" s="399">
        <v>30</v>
      </c>
      <c r="CR305" s="399">
        <v>-216.59132630721615</v>
      </c>
      <c r="CS305" s="399">
        <v>0</v>
      </c>
      <c r="CT305" s="399">
        <v>0</v>
      </c>
      <c r="CU305" s="399">
        <v>0</v>
      </c>
      <c r="CV305" s="399">
        <v>0</v>
      </c>
      <c r="CW305" s="399">
        <v>0</v>
      </c>
      <c r="CX305" s="399">
        <v>0</v>
      </c>
      <c r="CY305" s="399">
        <v>0</v>
      </c>
      <c r="CZ305" s="399">
        <v>-16.487347726307235</v>
      </c>
      <c r="DA305" s="399">
        <v>0</v>
      </c>
      <c r="DB305" s="399">
        <v>0</v>
      </c>
      <c r="DC305" s="399">
        <v>0</v>
      </c>
      <c r="DD305" s="399">
        <v>0</v>
      </c>
      <c r="DE305" s="399">
        <v>0</v>
      </c>
      <c r="DF305" s="399">
        <v>0</v>
      </c>
      <c r="DG305" s="399">
        <v>0</v>
      </c>
      <c r="DH305" s="399">
        <v>0</v>
      </c>
      <c r="DI305" s="399">
        <v>-172.02641444092228</v>
      </c>
      <c r="DJ305" s="399"/>
      <c r="DK305" s="399">
        <v>0</v>
      </c>
      <c r="DL305" s="399">
        <v>0</v>
      </c>
      <c r="DM305" s="399">
        <v>0</v>
      </c>
      <c r="DN305" s="399">
        <v>0</v>
      </c>
      <c r="DO305" s="399">
        <v>-22.979919726900533</v>
      </c>
      <c r="DP305" s="399">
        <v>-5.0976444130870249</v>
      </c>
      <c r="DQ305" s="399">
        <v>0</v>
      </c>
      <c r="DR305" s="399">
        <v>0</v>
      </c>
      <c r="DS305" s="399"/>
      <c r="DT305" s="399"/>
      <c r="DU305" s="399"/>
      <c r="DV305" s="399">
        <v>14596.304656910683</v>
      </c>
      <c r="DW305" s="399">
        <v>0</v>
      </c>
      <c r="DX305" s="399">
        <v>0</v>
      </c>
      <c r="DY305" s="399">
        <v>-2810.2939200000037</v>
      </c>
      <c r="DZ305" s="399">
        <v>0</v>
      </c>
      <c r="EA305" s="399">
        <v>0</v>
      </c>
      <c r="EB305" s="399">
        <v>0</v>
      </c>
      <c r="EC305" s="399">
        <v>-2593.6752904240457</v>
      </c>
      <c r="ED305" s="399">
        <v>0</v>
      </c>
      <c r="EE305" s="399">
        <v>0</v>
      </c>
      <c r="EF305" s="399">
        <v>0</v>
      </c>
      <c r="EG305" s="399">
        <v>0</v>
      </c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>
        <v>0</v>
      </c>
      <c r="EN305" s="399">
        <v>0</v>
      </c>
      <c r="EO305" s="399">
        <v>0</v>
      </c>
      <c r="EP305" s="399">
        <v>0</v>
      </c>
      <c r="EQ305" s="399">
        <v>0</v>
      </c>
      <c r="ER305" s="399">
        <v>0</v>
      </c>
      <c r="ES305" s="399">
        <v>0</v>
      </c>
      <c r="ET305" s="399">
        <v>0</v>
      </c>
      <c r="EU305" s="399">
        <v>0</v>
      </c>
      <c r="EV305" s="399">
        <v>229</v>
      </c>
      <c r="EW305" s="399">
        <v>0</v>
      </c>
      <c r="EX305" s="399">
        <v>0</v>
      </c>
      <c r="EY305" s="399">
        <v>0</v>
      </c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304</v>
      </c>
      <c r="B306" s="399" t="s">
        <v>954</v>
      </c>
      <c r="C306" s="399" t="s">
        <v>2336</v>
      </c>
      <c r="D306" s="399" t="s">
        <v>2349</v>
      </c>
      <c r="E306" s="399" t="s">
        <v>2350</v>
      </c>
      <c r="F306" s="399" t="s">
        <v>2351</v>
      </c>
      <c r="G306" s="399" t="s">
        <v>1237</v>
      </c>
      <c r="H306" s="399" t="s">
        <v>1237</v>
      </c>
      <c r="I306" s="399" t="s">
        <v>1237</v>
      </c>
      <c r="J306" s="399" t="s">
        <v>2337</v>
      </c>
      <c r="K306" s="788">
        <v>44713</v>
      </c>
      <c r="L306" s="399">
        <v>0</v>
      </c>
      <c r="M306" s="399">
        <v>0</v>
      </c>
      <c r="N306" s="399">
        <v>84.697999999999993</v>
      </c>
      <c r="O306" s="399">
        <v>84.697999999999993</v>
      </c>
      <c r="P306" s="399">
        <v>84.697999999999993</v>
      </c>
      <c r="Q306" s="399">
        <v>84.697999999999993</v>
      </c>
      <c r="R306" s="399"/>
      <c r="S306" s="399">
        <v>388.92</v>
      </c>
      <c r="T306" s="399">
        <v>65.989999999999995</v>
      </c>
      <c r="U306" s="399"/>
      <c r="V306" s="399">
        <v>38529.967179999992</v>
      </c>
      <c r="W306" s="399">
        <v>38529.967179999992</v>
      </c>
      <c r="X306" s="399">
        <v>33961.357059999995</v>
      </c>
      <c r="Y306" s="399">
        <v>0</v>
      </c>
      <c r="Z306" s="399">
        <v>2836.7209807792856</v>
      </c>
      <c r="AA306" s="399">
        <v>0</v>
      </c>
      <c r="AB306" s="399">
        <v>0</v>
      </c>
      <c r="AC306" s="399">
        <v>0</v>
      </c>
      <c r="AD306" s="399">
        <v>5009.5958420838015</v>
      </c>
      <c r="AE306" s="399">
        <v>23728.112664260949</v>
      </c>
      <c r="AF306" s="399">
        <v>5588.8494850610123</v>
      </c>
      <c r="AG306" s="399">
        <v>0</v>
      </c>
      <c r="AH306" s="399">
        <v>0</v>
      </c>
      <c r="AI306" s="399">
        <v>0</v>
      </c>
      <c r="AJ306" s="399">
        <v>0</v>
      </c>
      <c r="AK306" s="399">
        <v>0</v>
      </c>
      <c r="AL306" s="399">
        <v>438.36502271558072</v>
      </c>
      <c r="AM306" s="399"/>
      <c r="AN306" s="399">
        <v>100.21588589634499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827.90833354223957</v>
      </c>
      <c r="BH306" s="399">
        <v>0</v>
      </c>
      <c r="BI306" s="399">
        <v>0</v>
      </c>
      <c r="BJ306" s="399">
        <v>0</v>
      </c>
      <c r="BK306" s="399">
        <v>11320.44</v>
      </c>
      <c r="BL306" s="399">
        <v>2</v>
      </c>
      <c r="BM306" s="399"/>
      <c r="BN306" s="399"/>
      <c r="BO306" s="399"/>
      <c r="BP306" s="399"/>
      <c r="BQ306" s="399"/>
      <c r="BR306" s="399"/>
      <c r="BS306" s="399"/>
      <c r="BT306" s="399"/>
      <c r="BU306" s="399"/>
      <c r="BV306" s="399">
        <v>6416.7578186032515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33962.159000000007</v>
      </c>
      <c r="CJ306" s="399">
        <v>-4567.8381799999916</v>
      </c>
      <c r="CK306" s="399"/>
      <c r="CL306" s="399"/>
      <c r="CM306" s="399"/>
      <c r="CN306" s="399"/>
      <c r="CO306" s="399">
        <v>-4568.6101199999994</v>
      </c>
      <c r="CP306" s="399">
        <v>0</v>
      </c>
      <c r="CQ306" s="399">
        <v>30</v>
      </c>
      <c r="CR306" s="399">
        <v>-352.09619924494655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-26.802238894049879</v>
      </c>
      <c r="DA306" s="399">
        <v>0</v>
      </c>
      <c r="DB306" s="399">
        <v>0</v>
      </c>
      <c r="DC306" s="399">
        <v>0</v>
      </c>
      <c r="DD306" s="399">
        <v>0</v>
      </c>
      <c r="DE306" s="399">
        <v>0</v>
      </c>
      <c r="DF306" s="399">
        <v>0</v>
      </c>
      <c r="DG306" s="399">
        <v>0</v>
      </c>
      <c r="DH306" s="399">
        <v>0</v>
      </c>
      <c r="DI306" s="399">
        <v>-279.65037994397471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-37.35672398680714</v>
      </c>
      <c r="DP306" s="399">
        <v>-8.2868564201149866</v>
      </c>
      <c r="DQ306" s="399">
        <v>0</v>
      </c>
      <c r="DR306" s="399">
        <v>0</v>
      </c>
      <c r="DS306" s="399"/>
      <c r="DT306" s="399"/>
      <c r="DU306" s="399"/>
      <c r="DV306" s="399">
        <v>23728.112664260949</v>
      </c>
      <c r="DW306" s="399">
        <v>0</v>
      </c>
      <c r="DX306" s="399">
        <v>0</v>
      </c>
      <c r="DY306" s="399">
        <v>-4568.6101199999976</v>
      </c>
      <c r="DZ306" s="399">
        <v>0</v>
      </c>
      <c r="EA306" s="399">
        <v>0</v>
      </c>
      <c r="EB306" s="399">
        <v>0</v>
      </c>
      <c r="EC306" s="399">
        <v>-4216.3424888883237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0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229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305</v>
      </c>
      <c r="B307" s="399" t="s">
        <v>954</v>
      </c>
      <c r="C307" s="399" t="s">
        <v>2336</v>
      </c>
      <c r="D307" s="399" t="s">
        <v>1822</v>
      </c>
      <c r="E307" s="399" t="s">
        <v>919</v>
      </c>
      <c r="F307" s="399" t="s">
        <v>2352</v>
      </c>
      <c r="G307" s="399" t="s">
        <v>1237</v>
      </c>
      <c r="H307" s="399" t="s">
        <v>1237</v>
      </c>
      <c r="I307" s="399" t="s">
        <v>1237</v>
      </c>
      <c r="J307" s="399" t="s">
        <v>2337</v>
      </c>
      <c r="K307" s="788">
        <v>44713</v>
      </c>
      <c r="L307" s="399">
        <v>0</v>
      </c>
      <c r="M307" s="399">
        <v>0</v>
      </c>
      <c r="N307" s="399">
        <v>6.141</v>
      </c>
      <c r="O307" s="399">
        <v>5.7725400000000002</v>
      </c>
      <c r="P307" s="399">
        <v>6.141</v>
      </c>
      <c r="Q307" s="399">
        <v>5.7725400000000002</v>
      </c>
      <c r="R307" s="399"/>
      <c r="S307" s="399">
        <v>707.13</v>
      </c>
      <c r="T307" s="399">
        <v>119.97</v>
      </c>
      <c r="U307" s="399"/>
      <c r="V307" s="399">
        <v>5079.2211000000007</v>
      </c>
      <c r="W307" s="399">
        <v>5079.2211000000007</v>
      </c>
      <c r="X307" s="399">
        <v>4476.9732299999996</v>
      </c>
      <c r="Y307" s="399">
        <v>0</v>
      </c>
      <c r="Z307" s="399">
        <v>373.95545548924781</v>
      </c>
      <c r="AA307" s="399">
        <v>0</v>
      </c>
      <c r="AB307" s="399">
        <v>0</v>
      </c>
      <c r="AC307" s="399">
        <v>0</v>
      </c>
      <c r="AD307" s="399">
        <v>660.39829353567768</v>
      </c>
      <c r="AE307" s="399">
        <v>3127.9978677445738</v>
      </c>
      <c r="AF307" s="399">
        <v>736.75936724404153</v>
      </c>
      <c r="AG307" s="399">
        <v>0</v>
      </c>
      <c r="AH307" s="399">
        <v>0</v>
      </c>
      <c r="AI307" s="399">
        <v>0</v>
      </c>
      <c r="AJ307" s="399">
        <v>0</v>
      </c>
      <c r="AK307" s="399">
        <v>0</v>
      </c>
      <c r="AL307" s="399">
        <v>57.788197306287834</v>
      </c>
      <c r="AM307" s="399"/>
      <c r="AN307" s="399">
        <v>13.211125631161266</v>
      </c>
      <c r="AO307" s="399">
        <v>0</v>
      </c>
      <c r="AP307" s="399">
        <v>0</v>
      </c>
      <c r="AQ307" s="399">
        <v>0</v>
      </c>
      <c r="AR307" s="399">
        <v>0</v>
      </c>
      <c r="AS307" s="399">
        <v>0</v>
      </c>
      <c r="AT307" s="399">
        <v>0</v>
      </c>
      <c r="AU307" s="399">
        <v>0</v>
      </c>
      <c r="AV307" s="399">
        <v>0</v>
      </c>
      <c r="AW307" s="399">
        <v>0</v>
      </c>
      <c r="AX307" s="399">
        <v>0</v>
      </c>
      <c r="AY307" s="399">
        <v>0</v>
      </c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>
        <v>0</v>
      </c>
      <c r="BG307" s="399">
        <v>109.14039134299399</v>
      </c>
      <c r="BH307" s="399">
        <v>0</v>
      </c>
      <c r="BI307" s="399">
        <v>0</v>
      </c>
      <c r="BJ307" s="399">
        <v>0</v>
      </c>
      <c r="BK307" s="399">
        <v>1402.76</v>
      </c>
      <c r="BL307" s="399">
        <v>7</v>
      </c>
      <c r="BM307" s="399"/>
      <c r="BN307" s="399"/>
      <c r="BO307" s="399"/>
      <c r="BP307" s="399"/>
      <c r="BQ307" s="399">
        <v>268.61839379999981</v>
      </c>
      <c r="BR307" s="399"/>
      <c r="BS307" s="399"/>
      <c r="BT307" s="399"/>
      <c r="BU307" s="399"/>
      <c r="BV307" s="399">
        <v>845.89975858703554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4206.503099999999</v>
      </c>
      <c r="CJ307" s="399">
        <v>-567.9947340000017</v>
      </c>
      <c r="CK307" s="399"/>
      <c r="CL307" s="399"/>
      <c r="CM307" s="399"/>
      <c r="CN307" s="399"/>
      <c r="CO307" s="399">
        <v>-602.24787000000026</v>
      </c>
      <c r="CP307" s="399">
        <v>0</v>
      </c>
      <c r="CQ307" s="399">
        <v>30</v>
      </c>
      <c r="CR307" s="399">
        <v>-46.415666347452998</v>
      </c>
      <c r="CS307" s="399">
        <v>0</v>
      </c>
      <c r="CT307" s="399">
        <v>0</v>
      </c>
      <c r="CU307" s="399">
        <v>0</v>
      </c>
      <c r="CV307" s="399">
        <v>0</v>
      </c>
      <c r="CW307" s="399">
        <v>0</v>
      </c>
      <c r="CX307" s="399">
        <v>0</v>
      </c>
      <c r="CY307" s="399">
        <v>0</v>
      </c>
      <c r="CZ307" s="399">
        <v>-3.5332496645468154</v>
      </c>
      <c r="DA307" s="399">
        <v>0</v>
      </c>
      <c r="DB307" s="399">
        <v>0</v>
      </c>
      <c r="DC307" s="399">
        <v>0</v>
      </c>
      <c r="DD307" s="399">
        <v>0</v>
      </c>
      <c r="DE307" s="399">
        <v>0</v>
      </c>
      <c r="DF307" s="399">
        <v>0</v>
      </c>
      <c r="DG307" s="399">
        <v>0</v>
      </c>
      <c r="DH307" s="399">
        <v>0</v>
      </c>
      <c r="DI307" s="399">
        <v>-36.865375875268796</v>
      </c>
      <c r="DJ307" s="399"/>
      <c r="DK307" s="399">
        <v>0</v>
      </c>
      <c r="DL307" s="399">
        <v>0</v>
      </c>
      <c r="DM307" s="399">
        <v>0</v>
      </c>
      <c r="DN307" s="399">
        <v>0</v>
      </c>
      <c r="DO307" s="399">
        <v>-4.9246121944059169</v>
      </c>
      <c r="DP307" s="399">
        <v>-1.0924286132316929</v>
      </c>
      <c r="DQ307" s="399">
        <v>0</v>
      </c>
      <c r="DR307" s="399">
        <v>0</v>
      </c>
      <c r="DS307" s="399"/>
      <c r="DT307" s="399"/>
      <c r="DU307" s="399"/>
      <c r="DV307" s="399">
        <v>3127.9978677445738</v>
      </c>
      <c r="DW307" s="399">
        <v>0</v>
      </c>
      <c r="DX307" s="399">
        <v>0</v>
      </c>
      <c r="DY307" s="399">
        <v>-602.2478700000006</v>
      </c>
      <c r="DZ307" s="399">
        <v>0</v>
      </c>
      <c r="EA307" s="399">
        <v>0</v>
      </c>
      <c r="EB307" s="399">
        <v>0</v>
      </c>
      <c r="EC307" s="399">
        <v>-555.82635254376237</v>
      </c>
      <c r="ED307" s="399">
        <v>0</v>
      </c>
      <c r="EE307" s="399">
        <v>0</v>
      </c>
      <c r="EF307" s="399">
        <v>0</v>
      </c>
      <c r="EG307" s="399">
        <v>0</v>
      </c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>
        <v>0</v>
      </c>
      <c r="EN307" s="399">
        <v>0</v>
      </c>
      <c r="EO307" s="399">
        <v>0</v>
      </c>
      <c r="EP307" s="399">
        <v>0</v>
      </c>
      <c r="EQ307" s="399">
        <v>0</v>
      </c>
      <c r="ER307" s="399">
        <v>0</v>
      </c>
      <c r="ES307" s="399">
        <v>0</v>
      </c>
      <c r="ET307" s="399">
        <v>0</v>
      </c>
      <c r="EU307" s="399">
        <v>0</v>
      </c>
      <c r="EV307" s="399">
        <v>229</v>
      </c>
      <c r="EW307" s="399">
        <v>0</v>
      </c>
      <c r="EX307" s="399">
        <v>0</v>
      </c>
      <c r="EY307" s="399">
        <v>0</v>
      </c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306</v>
      </c>
      <c r="B308" s="399" t="s">
        <v>954</v>
      </c>
      <c r="C308" s="399" t="s">
        <v>2344</v>
      </c>
      <c r="D308" s="399" t="s">
        <v>533</v>
      </c>
      <c r="E308" s="399" t="s">
        <v>919</v>
      </c>
      <c r="F308" s="399" t="s">
        <v>2352</v>
      </c>
      <c r="G308" s="399" t="s">
        <v>1237</v>
      </c>
      <c r="H308" s="399" t="s">
        <v>1237</v>
      </c>
      <c r="I308" s="399" t="s">
        <v>891</v>
      </c>
      <c r="J308" s="399" t="s">
        <v>2337</v>
      </c>
      <c r="K308" s="788">
        <v>44713</v>
      </c>
      <c r="L308" s="399">
        <v>0</v>
      </c>
      <c r="M308" s="399">
        <v>0</v>
      </c>
      <c r="N308" s="399">
        <v>3.8940000000000001</v>
      </c>
      <c r="O308" s="399">
        <v>3.6603599999999998</v>
      </c>
      <c r="P308" s="399">
        <v>3.8940000000000001</v>
      </c>
      <c r="Q308" s="399">
        <v>3.6603599999999998</v>
      </c>
      <c r="R308" s="399"/>
      <c r="S308" s="399">
        <v>3312.96</v>
      </c>
      <c r="T308" s="399">
        <v>119.97</v>
      </c>
      <c r="U308" s="399"/>
      <c r="V308" s="399">
        <v>13367.82942</v>
      </c>
      <c r="W308" s="399">
        <v>13367.82942</v>
      </c>
      <c r="X308" s="399">
        <v>11603.380140000001</v>
      </c>
      <c r="Y308" s="399">
        <v>0</v>
      </c>
      <c r="Z308" s="399">
        <v>206.29845513717038</v>
      </c>
      <c r="AA308" s="399">
        <v>0</v>
      </c>
      <c r="AB308" s="399">
        <v>0</v>
      </c>
      <c r="AC308" s="399">
        <v>0</v>
      </c>
      <c r="AD308" s="399">
        <v>2911.3062834861275</v>
      </c>
      <c r="AE308" s="399">
        <v>9708.4850174803505</v>
      </c>
      <c r="AF308" s="399">
        <v>467.17814298132191</v>
      </c>
      <c r="AG308" s="399">
        <v>0</v>
      </c>
      <c r="AH308" s="399">
        <v>0</v>
      </c>
      <c r="AI308" s="399">
        <v>0</v>
      </c>
      <c r="AJ308" s="399">
        <v>0</v>
      </c>
      <c r="AK308" s="399">
        <v>0</v>
      </c>
      <c r="AL308" s="399">
        <v>36.643419689087253</v>
      </c>
      <c r="AM308" s="399"/>
      <c r="AN308" s="399">
        <v>3.2738103790010782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34.671581794726123</v>
      </c>
      <c r="BH308" s="399">
        <v>0</v>
      </c>
      <c r="BI308" s="399">
        <v>0</v>
      </c>
      <c r="BJ308" s="399">
        <v>0</v>
      </c>
      <c r="BK308" s="399">
        <v>0</v>
      </c>
      <c r="BL308" s="399">
        <v>0</v>
      </c>
      <c r="BM308" s="399"/>
      <c r="BN308" s="399"/>
      <c r="BO308" s="399"/>
      <c r="BP308" s="399"/>
      <c r="BQ308" s="399">
        <v>696.20280840000089</v>
      </c>
      <c r="BR308" s="399"/>
      <c r="BS308" s="399"/>
      <c r="BT308" s="399"/>
      <c r="BU308" s="399"/>
      <c r="BV308" s="399">
        <v>501.84972477604805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10906.104600000002</v>
      </c>
      <c r="CJ308" s="399">
        <v>-1659.6850547999984</v>
      </c>
      <c r="CK308" s="399"/>
      <c r="CL308" s="399"/>
      <c r="CM308" s="399"/>
      <c r="CN308" s="399"/>
      <c r="CO308" s="399">
        <v>-1764.4492799999996</v>
      </c>
      <c r="CP308" s="399">
        <v>0</v>
      </c>
      <c r="CQ308" s="399">
        <v>30</v>
      </c>
      <c r="CR308" s="399">
        <v>-39.306782953053698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-15.576012309868474</v>
      </c>
      <c r="DA308" s="399">
        <v>0</v>
      </c>
      <c r="DB308" s="399">
        <v>0</v>
      </c>
      <c r="DC308" s="399">
        <v>0</v>
      </c>
      <c r="DD308" s="399">
        <v>0</v>
      </c>
      <c r="DE308" s="399">
        <v>0</v>
      </c>
      <c r="DF308" s="399">
        <v>0</v>
      </c>
      <c r="DG308" s="399">
        <v>0</v>
      </c>
      <c r="DH308" s="399">
        <v>0</v>
      </c>
      <c r="DI308" s="399">
        <v>-20.337369008747316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-3.1226900968924696</v>
      </c>
      <c r="DP308" s="399">
        <v>-0.27071153754528687</v>
      </c>
      <c r="DQ308" s="399">
        <v>0</v>
      </c>
      <c r="DR308" s="399">
        <v>0</v>
      </c>
      <c r="DS308" s="399"/>
      <c r="DT308" s="399"/>
      <c r="DU308" s="399"/>
      <c r="DV308" s="399">
        <v>9708.4850174803505</v>
      </c>
      <c r="DW308" s="399">
        <v>0</v>
      </c>
      <c r="DX308" s="399">
        <v>0</v>
      </c>
      <c r="DY308" s="399">
        <v>-1764.4492799999989</v>
      </c>
      <c r="DZ308" s="399">
        <v>0</v>
      </c>
      <c r="EA308" s="399">
        <v>0</v>
      </c>
      <c r="EB308" s="399">
        <v>0</v>
      </c>
      <c r="EC308" s="399">
        <v>-1725.139224561799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0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229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307</v>
      </c>
      <c r="B309" s="399" t="s">
        <v>954</v>
      </c>
      <c r="C309" s="399" t="s">
        <v>2344</v>
      </c>
      <c r="D309" s="399" t="s">
        <v>533</v>
      </c>
      <c r="E309" s="399" t="s">
        <v>919</v>
      </c>
      <c r="F309" s="399" t="s">
        <v>2352</v>
      </c>
      <c r="G309" s="399" t="s">
        <v>1237</v>
      </c>
      <c r="H309" s="399" t="s">
        <v>1237</v>
      </c>
      <c r="I309" s="399" t="s">
        <v>2322</v>
      </c>
      <c r="J309" s="399" t="s">
        <v>2337</v>
      </c>
      <c r="K309" s="788">
        <v>44713</v>
      </c>
      <c r="L309" s="399">
        <v>0</v>
      </c>
      <c r="M309" s="399">
        <v>0</v>
      </c>
      <c r="N309" s="399">
        <v>34.14</v>
      </c>
      <c r="O309" s="399">
        <v>32.0916</v>
      </c>
      <c r="P309" s="399">
        <v>34.14</v>
      </c>
      <c r="Q309" s="399">
        <v>32.0916</v>
      </c>
      <c r="R309" s="399"/>
      <c r="S309" s="399">
        <v>72.13</v>
      </c>
      <c r="T309" s="399">
        <v>119.97</v>
      </c>
      <c r="U309" s="399"/>
      <c r="V309" s="399">
        <v>6558.2939999999999</v>
      </c>
      <c r="W309" s="399">
        <v>6558.2939999999999</v>
      </c>
      <c r="X309" s="399">
        <v>6350.3814000000002</v>
      </c>
      <c r="Y309" s="399">
        <v>0</v>
      </c>
      <c r="Z309" s="399">
        <v>1808.6875342534661</v>
      </c>
      <c r="AA309" s="399">
        <v>0</v>
      </c>
      <c r="AB309" s="399">
        <v>0</v>
      </c>
      <c r="AC309" s="399">
        <v>0</v>
      </c>
      <c r="AD309" s="399">
        <v>0</v>
      </c>
      <c r="AE309" s="399">
        <v>0</v>
      </c>
      <c r="AF309" s="399">
        <v>4095.9069854602799</v>
      </c>
      <c r="AG309" s="399">
        <v>0</v>
      </c>
      <c r="AH309" s="399">
        <v>0</v>
      </c>
      <c r="AI309" s="399">
        <v>0</v>
      </c>
      <c r="AJ309" s="399">
        <v>0</v>
      </c>
      <c r="AK309" s="399">
        <v>0</v>
      </c>
      <c r="AL309" s="399">
        <v>321.26511252836127</v>
      </c>
      <c r="AM309" s="399"/>
      <c r="AN309" s="399">
        <v>28.702590225756758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303.97735040368514</v>
      </c>
      <c r="BH309" s="399">
        <v>0</v>
      </c>
      <c r="BI309" s="399">
        <v>0</v>
      </c>
      <c r="BJ309" s="399">
        <v>0</v>
      </c>
      <c r="BK309" s="399">
        <v>0</v>
      </c>
      <c r="BL309" s="399">
        <v>0</v>
      </c>
      <c r="BM309" s="399"/>
      <c r="BN309" s="399"/>
      <c r="BO309" s="399"/>
      <c r="BP309" s="399"/>
      <c r="BQ309" s="399">
        <v>381.0228840000002</v>
      </c>
      <c r="BR309" s="399"/>
      <c r="BS309" s="399"/>
      <c r="BT309" s="399"/>
      <c r="BU309" s="399"/>
      <c r="BV309" s="399">
        <v>4399.8843358639651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5969.0609000000004</v>
      </c>
      <c r="CJ309" s="399">
        <v>-195.76546000000053</v>
      </c>
      <c r="CK309" s="399"/>
      <c r="CL309" s="399"/>
      <c r="CM309" s="399"/>
      <c r="CN309" s="399"/>
      <c r="CO309" s="399">
        <v>-207.91259999999963</v>
      </c>
      <c r="CP309" s="399">
        <v>0</v>
      </c>
      <c r="CQ309" s="399">
        <v>30</v>
      </c>
      <c r="CR309" s="399">
        <v>-208.05560086243895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0</v>
      </c>
      <c r="DA309" s="399">
        <v>0</v>
      </c>
      <c r="DB309" s="399">
        <v>0</v>
      </c>
      <c r="DC309" s="399">
        <v>0</v>
      </c>
      <c r="DD309" s="399">
        <v>0</v>
      </c>
      <c r="DE309" s="399">
        <v>0</v>
      </c>
      <c r="DF309" s="399">
        <v>0</v>
      </c>
      <c r="DG309" s="399">
        <v>0</v>
      </c>
      <c r="DH309" s="399">
        <v>0</v>
      </c>
      <c r="DI309" s="399">
        <v>-178.30451411367062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-27.37766818384921</v>
      </c>
      <c r="DP309" s="399">
        <v>-2.3734185649193904</v>
      </c>
      <c r="DQ309" s="399">
        <v>0</v>
      </c>
      <c r="DR309" s="399">
        <v>0</v>
      </c>
      <c r="DS309" s="399"/>
      <c r="DT309" s="399"/>
      <c r="DU309" s="399"/>
      <c r="DV309" s="399">
        <v>0</v>
      </c>
      <c r="DW309" s="399">
        <v>0</v>
      </c>
      <c r="DX309" s="399">
        <v>0</v>
      </c>
      <c r="DY309" s="399">
        <v>-207.91259999999966</v>
      </c>
      <c r="DZ309" s="399">
        <v>0</v>
      </c>
      <c r="EA309" s="399">
        <v>0</v>
      </c>
      <c r="EB309" s="399">
        <v>0</v>
      </c>
      <c r="EC309" s="399">
        <v>0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229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308</v>
      </c>
      <c r="B310" s="399" t="s">
        <v>954</v>
      </c>
      <c r="C310" s="399" t="s">
        <v>2344</v>
      </c>
      <c r="D310" s="399" t="s">
        <v>533</v>
      </c>
      <c r="E310" s="399" t="s">
        <v>919</v>
      </c>
      <c r="F310" s="399" t="s">
        <v>2352</v>
      </c>
      <c r="G310" s="399" t="s">
        <v>1237</v>
      </c>
      <c r="H310" s="399" t="s">
        <v>1237</v>
      </c>
      <c r="I310" s="399" t="s">
        <v>1237</v>
      </c>
      <c r="J310" s="399" t="s">
        <v>2337</v>
      </c>
      <c r="K310" s="788">
        <v>44713</v>
      </c>
      <c r="L310" s="399">
        <v>100</v>
      </c>
      <c r="M310" s="399">
        <v>94</v>
      </c>
      <c r="N310" s="399">
        <v>0</v>
      </c>
      <c r="O310" s="399">
        <v>0</v>
      </c>
      <c r="P310" s="399">
        <v>0</v>
      </c>
      <c r="Q310" s="399">
        <v>0</v>
      </c>
      <c r="R310" s="399">
        <v>46.29</v>
      </c>
      <c r="S310" s="399"/>
      <c r="T310" s="399"/>
      <c r="U310" s="399">
        <v>4629</v>
      </c>
      <c r="V310" s="399"/>
      <c r="W310" s="399">
        <v>4629</v>
      </c>
      <c r="X310" s="399">
        <v>4115</v>
      </c>
      <c r="Y310" s="399">
        <v>0</v>
      </c>
      <c r="Z310" s="399">
        <v>0</v>
      </c>
      <c r="AA310" s="399">
        <v>0</v>
      </c>
      <c r="AB310" s="399">
        <v>0</v>
      </c>
      <c r="AC310" s="399">
        <v>0</v>
      </c>
      <c r="AD310" s="399">
        <v>1791.3012373515901</v>
      </c>
      <c r="AE310" s="399">
        <v>2837.3428309380402</v>
      </c>
      <c r="AF310" s="399"/>
      <c r="AG310" s="399"/>
      <c r="AH310" s="399"/>
      <c r="AI310" s="399">
        <v>0</v>
      </c>
      <c r="AJ310" s="399">
        <v>0</v>
      </c>
      <c r="AK310" s="399">
        <v>0</v>
      </c>
      <c r="AL310" s="399">
        <v>0</v>
      </c>
      <c r="AM310" s="399"/>
      <c r="AN310" s="399">
        <v>0</v>
      </c>
      <c r="AO310" s="399">
        <v>0</v>
      </c>
      <c r="AP310" s="399">
        <v>0</v>
      </c>
      <c r="AQ310" s="399">
        <v>0</v>
      </c>
      <c r="AR310" s="399">
        <v>0</v>
      </c>
      <c r="AS310" s="399"/>
      <c r="AT310" s="399"/>
      <c r="AU310" s="399">
        <v>0</v>
      </c>
      <c r="AV310" s="399">
        <v>0</v>
      </c>
      <c r="AW310" s="399">
        <v>0</v>
      </c>
      <c r="AX310" s="399"/>
      <c r="AY310" s="399"/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/>
      <c r="BG310" s="399">
        <v>0</v>
      </c>
      <c r="BH310" s="399">
        <v>0</v>
      </c>
      <c r="BI310" s="399">
        <v>0</v>
      </c>
      <c r="BJ310" s="399">
        <v>0</v>
      </c>
      <c r="BK310" s="399">
        <v>6914.87</v>
      </c>
      <c r="BL310" s="399">
        <v>1</v>
      </c>
      <c r="BM310" s="399"/>
      <c r="BN310" s="399"/>
      <c r="BO310" s="399"/>
      <c r="BP310" s="399"/>
      <c r="BQ310" s="399">
        <v>246.89999999999998</v>
      </c>
      <c r="BR310" s="399"/>
      <c r="BS310" s="399"/>
      <c r="BT310" s="399"/>
      <c r="BU310" s="399"/>
      <c r="BV310" s="399">
        <v>0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3868.1</v>
      </c>
      <c r="CJ310" s="399">
        <v>-483.19000000000096</v>
      </c>
      <c r="CK310" s="399"/>
      <c r="CL310" s="399"/>
      <c r="CM310" s="399"/>
      <c r="CN310" s="399"/>
      <c r="CO310" s="399">
        <v>-514</v>
      </c>
      <c r="CP310" s="399">
        <v>0</v>
      </c>
      <c r="CQ310" s="399">
        <v>30</v>
      </c>
      <c r="CR310" s="399">
        <v>-9.5837838436800666</v>
      </c>
      <c r="CS310" s="399">
        <v>0</v>
      </c>
      <c r="CT310" s="399">
        <v>0</v>
      </c>
      <c r="CU310" s="399">
        <v>0</v>
      </c>
      <c r="CV310" s="399">
        <v>0</v>
      </c>
      <c r="CW310" s="399"/>
      <c r="CX310" s="399"/>
      <c r="CY310" s="399"/>
      <c r="CZ310" s="399">
        <v>-9.5837838436800666</v>
      </c>
      <c r="DA310" s="399">
        <v>0</v>
      </c>
      <c r="DB310" s="399">
        <v>0</v>
      </c>
      <c r="DC310" s="399"/>
      <c r="DD310" s="399"/>
      <c r="DE310" s="399">
        <v>0</v>
      </c>
      <c r="DF310" s="399">
        <v>0</v>
      </c>
      <c r="DG310" s="399">
        <v>0</v>
      </c>
      <c r="DH310" s="399">
        <v>0</v>
      </c>
      <c r="DI310" s="399">
        <v>0</v>
      </c>
      <c r="DJ310" s="399"/>
      <c r="DK310" s="399">
        <v>0</v>
      </c>
      <c r="DL310" s="399">
        <v>0</v>
      </c>
      <c r="DM310" s="399"/>
      <c r="DN310" s="399">
        <v>0</v>
      </c>
      <c r="DO310" s="399">
        <v>0</v>
      </c>
      <c r="DP310" s="399">
        <v>0</v>
      </c>
      <c r="DQ310" s="399">
        <v>0</v>
      </c>
      <c r="DR310" s="399">
        <v>0</v>
      </c>
      <c r="DS310" s="399"/>
      <c r="DT310" s="399"/>
      <c r="DU310" s="399">
        <v>2837.3428309380402</v>
      </c>
      <c r="DV310" s="399"/>
      <c r="DW310" s="399">
        <v>0</v>
      </c>
      <c r="DX310" s="399">
        <v>0</v>
      </c>
      <c r="DY310" s="399">
        <v>-514</v>
      </c>
      <c r="DZ310" s="399"/>
      <c r="EA310" s="399">
        <v>0</v>
      </c>
      <c r="EB310" s="399"/>
      <c r="EC310" s="399">
        <v>-504.17870577822032</v>
      </c>
      <c r="ED310" s="399"/>
      <c r="EE310" s="399">
        <v>0</v>
      </c>
      <c r="EF310" s="399">
        <v>0</v>
      </c>
      <c r="EG310" s="399"/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/>
      <c r="EN310" s="399"/>
      <c r="EO310" s="399">
        <v>0</v>
      </c>
      <c r="EP310" s="399">
        <v>0</v>
      </c>
      <c r="EQ310" s="399"/>
      <c r="ER310" s="399">
        <v>0</v>
      </c>
      <c r="ES310" s="399"/>
      <c r="ET310" s="399">
        <v>0</v>
      </c>
      <c r="EU310" s="399"/>
      <c r="EV310" s="399">
        <v>229</v>
      </c>
      <c r="EW310" s="399"/>
      <c r="EX310" s="399"/>
      <c r="EY310" s="399"/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309</v>
      </c>
      <c r="B311" s="399" t="s">
        <v>954</v>
      </c>
      <c r="C311" s="399" t="s">
        <v>2336</v>
      </c>
      <c r="D311" s="399" t="s">
        <v>1819</v>
      </c>
      <c r="E311" s="399" t="s">
        <v>887</v>
      </c>
      <c r="F311" s="399" t="s">
        <v>887</v>
      </c>
      <c r="G311" s="399" t="s">
        <v>1237</v>
      </c>
      <c r="H311" s="399" t="s">
        <v>1237</v>
      </c>
      <c r="I311" s="399" t="s">
        <v>1237</v>
      </c>
      <c r="J311" s="399" t="s">
        <v>2337</v>
      </c>
      <c r="K311" s="788">
        <v>44743</v>
      </c>
      <c r="L311" s="399">
        <v>0</v>
      </c>
      <c r="M311" s="399">
        <v>0</v>
      </c>
      <c r="N311" s="399">
        <v>581.66600000000005</v>
      </c>
      <c r="O311" s="399">
        <v>581.66600000000005</v>
      </c>
      <c r="P311" s="399">
        <v>581.66600000000005</v>
      </c>
      <c r="Q311" s="399">
        <v>581.66600000000005</v>
      </c>
      <c r="R311" s="399"/>
      <c r="S311" s="399">
        <v>707.13</v>
      </c>
      <c r="T311" s="399">
        <v>119.97</v>
      </c>
      <c r="U311" s="399"/>
      <c r="V311" s="399">
        <v>481095.94860000006</v>
      </c>
      <c r="W311" s="399">
        <v>481095.94860000006</v>
      </c>
      <c r="X311" s="399">
        <v>424051.96398</v>
      </c>
      <c r="Y311" s="399">
        <v>0</v>
      </c>
      <c r="Z311" s="399">
        <v>35420.481024687972</v>
      </c>
      <c r="AA311" s="399">
        <v>0</v>
      </c>
      <c r="AB311" s="399">
        <v>0</v>
      </c>
      <c r="AC311" s="399">
        <v>0</v>
      </c>
      <c r="AD311" s="399">
        <v>62551.902590412559</v>
      </c>
      <c r="AE311" s="399">
        <v>296279.10889749479</v>
      </c>
      <c r="AF311" s="399">
        <v>69784.70511437433</v>
      </c>
      <c r="AG311" s="399">
        <v>0</v>
      </c>
      <c r="AH311" s="399">
        <v>0</v>
      </c>
      <c r="AI311" s="399">
        <v>0</v>
      </c>
      <c r="AJ311" s="399">
        <v>0</v>
      </c>
      <c r="AK311" s="399">
        <v>0</v>
      </c>
      <c r="AL311" s="399">
        <v>5473.608463500932</v>
      </c>
      <c r="AM311" s="399"/>
      <c r="AN311" s="399">
        <v>1251.3373394194839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10337.608674631811</v>
      </c>
      <c r="BH311" s="399">
        <v>0</v>
      </c>
      <c r="BI311" s="399">
        <v>0</v>
      </c>
      <c r="BJ311" s="399">
        <v>0</v>
      </c>
      <c r="BK311" s="399">
        <v>69710.77</v>
      </c>
      <c r="BL311" s="399">
        <v>3095</v>
      </c>
      <c r="BM311" s="399"/>
      <c r="BN311" s="399"/>
      <c r="BO311" s="399"/>
      <c r="BP311" s="399"/>
      <c r="BQ311" s="399"/>
      <c r="BR311" s="399"/>
      <c r="BS311" s="399"/>
      <c r="BT311" s="399"/>
      <c r="BU311" s="399"/>
      <c r="BV311" s="399">
        <v>80122.313789006148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424054.88009999995</v>
      </c>
      <c r="CJ311" s="399">
        <v>-57041.098500000138</v>
      </c>
      <c r="CK311" s="399"/>
      <c r="CL311" s="399"/>
      <c r="CM311" s="399"/>
      <c r="CN311" s="399"/>
      <c r="CO311" s="399">
        <v>-57043.984620000032</v>
      </c>
      <c r="CP311" s="399">
        <v>0</v>
      </c>
      <c r="CQ311" s="399">
        <v>31</v>
      </c>
      <c r="CR311" s="399">
        <v>-4396.4199611883669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-334.66393085463642</v>
      </c>
      <c r="DA311" s="399">
        <v>0</v>
      </c>
      <c r="DB311" s="399">
        <v>0</v>
      </c>
      <c r="DC311" s="399">
        <v>0</v>
      </c>
      <c r="DD311" s="399">
        <v>0</v>
      </c>
      <c r="DE311" s="399">
        <v>0</v>
      </c>
      <c r="DF311" s="399">
        <v>0</v>
      </c>
      <c r="DG311" s="399">
        <v>0</v>
      </c>
      <c r="DH311" s="399">
        <v>0</v>
      </c>
      <c r="DI311" s="399">
        <v>-3491.83125286828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-466.45163274243896</v>
      </c>
      <c r="DP311" s="399">
        <v>-103.47314472301355</v>
      </c>
      <c r="DQ311" s="399">
        <v>0</v>
      </c>
      <c r="DR311" s="399">
        <v>0</v>
      </c>
      <c r="DS311" s="399"/>
      <c r="DT311" s="399"/>
      <c r="DU311" s="399"/>
      <c r="DV311" s="399">
        <v>296279.10889749479</v>
      </c>
      <c r="DW311" s="399">
        <v>0</v>
      </c>
      <c r="DX311" s="399">
        <v>0</v>
      </c>
      <c r="DY311" s="399">
        <v>-57043.984620000061</v>
      </c>
      <c r="DZ311" s="399">
        <v>0</v>
      </c>
      <c r="EA311" s="399">
        <v>0</v>
      </c>
      <c r="EB311" s="399">
        <v>0</v>
      </c>
      <c r="EC311" s="399">
        <v>-52647.010450858215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229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310</v>
      </c>
      <c r="B312" s="399" t="s">
        <v>2338</v>
      </c>
      <c r="C312" s="399" t="s">
        <v>2336</v>
      </c>
      <c r="D312" s="399" t="s">
        <v>1819</v>
      </c>
      <c r="E312" s="399" t="s">
        <v>887</v>
      </c>
      <c r="F312" s="399" t="s">
        <v>887</v>
      </c>
      <c r="G312" s="399" t="s">
        <v>1237</v>
      </c>
      <c r="H312" s="399" t="s">
        <v>1237</v>
      </c>
      <c r="I312" s="399" t="s">
        <v>1237</v>
      </c>
      <c r="J312" s="399" t="s">
        <v>2337</v>
      </c>
      <c r="K312" s="788">
        <v>44743</v>
      </c>
      <c r="L312" s="399">
        <v>0</v>
      </c>
      <c r="M312" s="399">
        <v>0</v>
      </c>
      <c r="N312" s="399">
        <v>-3.3650000000000002</v>
      </c>
      <c r="O312" s="399">
        <v>-3.3650000000000002</v>
      </c>
      <c r="P312" s="399">
        <v>-3.3650000000000002</v>
      </c>
      <c r="Q312" s="399">
        <v>-3.3650000000000002</v>
      </c>
      <c r="R312" s="399"/>
      <c r="S312" s="399">
        <v>707.13</v>
      </c>
      <c r="T312" s="399">
        <v>119.97</v>
      </c>
      <c r="U312" s="399"/>
      <c r="V312" s="399">
        <v>-2783.1915000000004</v>
      </c>
      <c r="W312" s="399">
        <v>-2783.1915000000004</v>
      </c>
      <c r="X312" s="399">
        <v>-2453.18595</v>
      </c>
      <c r="Y312" s="399">
        <v>0</v>
      </c>
      <c r="Z312" s="399">
        <v>-204.91126978038088</v>
      </c>
      <c r="AA312" s="399">
        <v>0</v>
      </c>
      <c r="AB312" s="399">
        <v>0</v>
      </c>
      <c r="AC312" s="399">
        <v>0</v>
      </c>
      <c r="AD312" s="399">
        <v>-361.86944434905644</v>
      </c>
      <c r="AE312" s="399">
        <v>-1714.0063222537847</v>
      </c>
      <c r="AF312" s="399">
        <v>-403.7119802599251</v>
      </c>
      <c r="AG312" s="399">
        <v>0</v>
      </c>
      <c r="AH312" s="399">
        <v>0</v>
      </c>
      <c r="AI312" s="399">
        <v>0</v>
      </c>
      <c r="AJ312" s="399">
        <v>0</v>
      </c>
      <c r="AK312" s="399">
        <v>0</v>
      </c>
      <c r="AL312" s="399">
        <v>-31.665410183302161</v>
      </c>
      <c r="AM312" s="399"/>
      <c r="AN312" s="399">
        <v>-7.2391202978110512</v>
      </c>
      <c r="AO312" s="399">
        <v>0</v>
      </c>
      <c r="AP312" s="399">
        <v>0</v>
      </c>
      <c r="AQ312" s="399">
        <v>0</v>
      </c>
      <c r="AR312" s="399">
        <v>0</v>
      </c>
      <c r="AS312" s="399">
        <v>0</v>
      </c>
      <c r="AT312" s="399">
        <v>0</v>
      </c>
      <c r="AU312" s="399">
        <v>0</v>
      </c>
      <c r="AV312" s="399">
        <v>0</v>
      </c>
      <c r="AW312" s="399">
        <v>0</v>
      </c>
      <c r="AX312" s="399">
        <v>0</v>
      </c>
      <c r="AY312" s="399">
        <v>0</v>
      </c>
      <c r="AZ312" s="399">
        <v>0</v>
      </c>
      <c r="BA312" s="399"/>
      <c r="BB312" s="399">
        <v>0</v>
      </c>
      <c r="BC312" s="399">
        <v>0</v>
      </c>
      <c r="BD312" s="399">
        <v>0</v>
      </c>
      <c r="BE312" s="399">
        <v>0</v>
      </c>
      <c r="BF312" s="399">
        <v>0</v>
      </c>
      <c r="BG312" s="399">
        <v>-59.804171449140988</v>
      </c>
      <c r="BH312" s="399">
        <v>0</v>
      </c>
      <c r="BI312" s="399">
        <v>0</v>
      </c>
      <c r="BJ312" s="399">
        <v>0</v>
      </c>
      <c r="BK312" s="399">
        <v>-644.97</v>
      </c>
      <c r="BL312" s="399">
        <v>0</v>
      </c>
      <c r="BM312" s="399"/>
      <c r="BN312" s="399"/>
      <c r="BO312" s="399"/>
      <c r="BP312" s="399"/>
      <c r="BQ312" s="399"/>
      <c r="BR312" s="399"/>
      <c r="BS312" s="399"/>
      <c r="BT312" s="399"/>
      <c r="BU312" s="399"/>
      <c r="BV312" s="399">
        <v>-463.51615170906609</v>
      </c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>
        <v>-2456.8311000000003</v>
      </c>
      <c r="CJ312" s="399">
        <v>326.33039999999937</v>
      </c>
      <c r="CK312" s="399"/>
      <c r="CL312" s="399"/>
      <c r="CM312" s="399"/>
      <c r="CN312" s="399"/>
      <c r="CO312" s="399">
        <v>330.0055500000002</v>
      </c>
      <c r="CP312" s="399">
        <v>0</v>
      </c>
      <c r="CQ312" s="399">
        <v>31</v>
      </c>
      <c r="CR312" s="399">
        <v>25.433759527630855</v>
      </c>
      <c r="CS312" s="399">
        <v>0</v>
      </c>
      <c r="CT312" s="399">
        <v>0</v>
      </c>
      <c r="CU312" s="399">
        <v>0</v>
      </c>
      <c r="CV312" s="399">
        <v>0</v>
      </c>
      <c r="CW312" s="399">
        <v>0</v>
      </c>
      <c r="CX312" s="399">
        <v>0</v>
      </c>
      <c r="CY312" s="399">
        <v>0</v>
      </c>
      <c r="CZ312" s="399">
        <v>1.9360666212669457</v>
      </c>
      <c r="DA312" s="399">
        <v>0</v>
      </c>
      <c r="DB312" s="399">
        <v>0</v>
      </c>
      <c r="DC312" s="399">
        <v>0</v>
      </c>
      <c r="DD312" s="399">
        <v>0</v>
      </c>
      <c r="DE312" s="399">
        <v>0</v>
      </c>
      <c r="DF312" s="399">
        <v>0</v>
      </c>
      <c r="DG312" s="399">
        <v>0</v>
      </c>
      <c r="DH312" s="399">
        <v>0</v>
      </c>
      <c r="DI312" s="399">
        <v>20.200617134062782</v>
      </c>
      <c r="DJ312" s="399"/>
      <c r="DK312" s="399">
        <v>0</v>
      </c>
      <c r="DL312" s="399">
        <v>0</v>
      </c>
      <c r="DM312" s="399">
        <v>0</v>
      </c>
      <c r="DN312" s="399">
        <v>0</v>
      </c>
      <c r="DO312" s="399">
        <v>2.6984725670372782</v>
      </c>
      <c r="DP312" s="399">
        <v>0.59860320526374355</v>
      </c>
      <c r="DQ312" s="399">
        <v>0</v>
      </c>
      <c r="DR312" s="399">
        <v>0</v>
      </c>
      <c r="DS312" s="399"/>
      <c r="DT312" s="399"/>
      <c r="DU312" s="399"/>
      <c r="DV312" s="399">
        <v>-1714.0063222537847</v>
      </c>
      <c r="DW312" s="399">
        <v>0</v>
      </c>
      <c r="DX312" s="399">
        <v>0</v>
      </c>
      <c r="DY312" s="399">
        <v>330.00555000000031</v>
      </c>
      <c r="DZ312" s="399">
        <v>0</v>
      </c>
      <c r="EA312" s="399">
        <v>0</v>
      </c>
      <c r="EB312" s="399">
        <v>0</v>
      </c>
      <c r="EC312" s="399">
        <v>304.56858432010449</v>
      </c>
      <c r="ED312" s="399">
        <v>0</v>
      </c>
      <c r="EE312" s="399">
        <v>0</v>
      </c>
      <c r="EF312" s="399">
        <v>0</v>
      </c>
      <c r="EG312" s="399">
        <v>0</v>
      </c>
      <c r="EH312" s="399">
        <v>0</v>
      </c>
      <c r="EI312" s="399">
        <v>0</v>
      </c>
      <c r="EJ312" s="399">
        <v>0</v>
      </c>
      <c r="EK312" s="399">
        <v>0</v>
      </c>
      <c r="EL312" s="399">
        <v>0</v>
      </c>
      <c r="EM312" s="399">
        <v>0</v>
      </c>
      <c r="EN312" s="399">
        <v>0</v>
      </c>
      <c r="EO312" s="399">
        <v>0</v>
      </c>
      <c r="EP312" s="399">
        <v>0</v>
      </c>
      <c r="EQ312" s="399">
        <v>0</v>
      </c>
      <c r="ER312" s="399">
        <v>0</v>
      </c>
      <c r="ES312" s="399">
        <v>0</v>
      </c>
      <c r="ET312" s="399">
        <v>0</v>
      </c>
      <c r="EU312" s="399">
        <v>0</v>
      </c>
      <c r="EV312" s="399">
        <v>229</v>
      </c>
      <c r="EW312" s="399">
        <v>0</v>
      </c>
      <c r="EX312" s="399">
        <v>0</v>
      </c>
      <c r="EY312" s="399">
        <v>0</v>
      </c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311</v>
      </c>
      <c r="B313" s="399" t="s">
        <v>2339</v>
      </c>
      <c r="C313" s="399" t="s">
        <v>2336</v>
      </c>
      <c r="D313" s="399" t="s">
        <v>1819</v>
      </c>
      <c r="E313" s="399" t="s">
        <v>887</v>
      </c>
      <c r="F313" s="399" t="s">
        <v>887</v>
      </c>
      <c r="G313" s="399" t="s">
        <v>1237</v>
      </c>
      <c r="H313" s="399" t="s">
        <v>1237</v>
      </c>
      <c r="I313" s="399" t="s">
        <v>1237</v>
      </c>
      <c r="J313" s="399" t="s">
        <v>2337</v>
      </c>
      <c r="K313" s="788">
        <v>44743</v>
      </c>
      <c r="L313" s="399">
        <v>0</v>
      </c>
      <c r="M313" s="399">
        <v>0</v>
      </c>
      <c r="N313" s="399">
        <v>10.53</v>
      </c>
      <c r="O313" s="399">
        <v>10.53</v>
      </c>
      <c r="P313" s="399">
        <v>10.53</v>
      </c>
      <c r="Q313" s="399">
        <v>10.53</v>
      </c>
      <c r="R313" s="399"/>
      <c r="S313" s="399">
        <v>707.13</v>
      </c>
      <c r="T313" s="399">
        <v>119.97</v>
      </c>
      <c r="U313" s="399"/>
      <c r="V313" s="399">
        <v>8709.3629999999994</v>
      </c>
      <c r="W313" s="399">
        <v>8709.3629999999994</v>
      </c>
      <c r="X313" s="399">
        <v>7676.6858999999986</v>
      </c>
      <c r="Y313" s="399">
        <v>0</v>
      </c>
      <c r="Z313" s="399">
        <v>641.22308195762571</v>
      </c>
      <c r="AA313" s="399">
        <v>0</v>
      </c>
      <c r="AB313" s="399">
        <v>0</v>
      </c>
      <c r="AC313" s="399">
        <v>0</v>
      </c>
      <c r="AD313" s="399">
        <v>1132.3878897460813</v>
      </c>
      <c r="AE313" s="399">
        <v>5363.5918494301195</v>
      </c>
      <c r="AF313" s="399">
        <v>1263.3245622992604</v>
      </c>
      <c r="AG313" s="399">
        <v>0</v>
      </c>
      <c r="AH313" s="399">
        <v>0</v>
      </c>
      <c r="AI313" s="399">
        <v>0</v>
      </c>
      <c r="AJ313" s="399">
        <v>0</v>
      </c>
      <c r="AK313" s="399">
        <v>0</v>
      </c>
      <c r="AL313" s="399">
        <v>99.089678820259053</v>
      </c>
      <c r="AM313" s="399"/>
      <c r="AN313" s="399">
        <v>22.653175850208132</v>
      </c>
      <c r="AO313" s="399">
        <v>0</v>
      </c>
      <c r="AP313" s="399">
        <v>0</v>
      </c>
      <c r="AQ313" s="399">
        <v>0</v>
      </c>
      <c r="AR313" s="399">
        <v>0</v>
      </c>
      <c r="AS313" s="399">
        <v>0</v>
      </c>
      <c r="AT313" s="399">
        <v>0</v>
      </c>
      <c r="AU313" s="399">
        <v>0</v>
      </c>
      <c r="AV313" s="399">
        <v>0</v>
      </c>
      <c r="AW313" s="399">
        <v>0</v>
      </c>
      <c r="AX313" s="399">
        <v>0</v>
      </c>
      <c r="AY313" s="399">
        <v>0</v>
      </c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>
        <v>0</v>
      </c>
      <c r="BG313" s="399">
        <v>187.14351422272051</v>
      </c>
      <c r="BH313" s="399">
        <v>0</v>
      </c>
      <c r="BI313" s="399">
        <v>0</v>
      </c>
      <c r="BJ313" s="399">
        <v>0</v>
      </c>
      <c r="BK313" s="399">
        <v>2572.87</v>
      </c>
      <c r="BL313" s="399">
        <v>57</v>
      </c>
      <c r="BM313" s="399"/>
      <c r="BN313" s="399"/>
      <c r="BO313" s="399"/>
      <c r="BP313" s="399"/>
      <c r="BQ313" s="399"/>
      <c r="BR313" s="399"/>
      <c r="BS313" s="399"/>
      <c r="BT313" s="399"/>
      <c r="BU313" s="399"/>
      <c r="BV313" s="399">
        <v>1450.4680765219809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7676.6858999999986</v>
      </c>
      <c r="CJ313" s="399">
        <v>-1032.7071000000014</v>
      </c>
      <c r="CK313" s="399"/>
      <c r="CL313" s="399"/>
      <c r="CM313" s="399"/>
      <c r="CN313" s="399"/>
      <c r="CO313" s="399">
        <v>-1032.6771000000006</v>
      </c>
      <c r="CP313" s="399">
        <v>0</v>
      </c>
      <c r="CQ313" s="399">
        <v>31</v>
      </c>
      <c r="CR313" s="399">
        <v>-79.589149428217297</v>
      </c>
      <c r="CS313" s="399">
        <v>0</v>
      </c>
      <c r="CT313" s="399">
        <v>0</v>
      </c>
      <c r="CU313" s="399">
        <v>0</v>
      </c>
      <c r="CV313" s="399">
        <v>0</v>
      </c>
      <c r="CW313" s="399">
        <v>0</v>
      </c>
      <c r="CX313" s="399">
        <v>0</v>
      </c>
      <c r="CY313" s="399">
        <v>0</v>
      </c>
      <c r="CZ313" s="399">
        <v>-6.0584789069660019</v>
      </c>
      <c r="DA313" s="399">
        <v>0</v>
      </c>
      <c r="DB313" s="399">
        <v>0</v>
      </c>
      <c r="DC313" s="399">
        <v>0</v>
      </c>
      <c r="DD313" s="399">
        <v>0</v>
      </c>
      <c r="DE313" s="399">
        <v>0</v>
      </c>
      <c r="DF313" s="399">
        <v>0</v>
      </c>
      <c r="DG313" s="399">
        <v>0</v>
      </c>
      <c r="DH313" s="399">
        <v>0</v>
      </c>
      <c r="DI313" s="399">
        <v>-63.213223899459535</v>
      </c>
      <c r="DJ313" s="399"/>
      <c r="DK313" s="399">
        <v>0</v>
      </c>
      <c r="DL313" s="399">
        <v>0</v>
      </c>
      <c r="DM313" s="399">
        <v>0</v>
      </c>
      <c r="DN313" s="399">
        <v>0</v>
      </c>
      <c r="DO313" s="399">
        <v>-8.4442544222592915</v>
      </c>
      <c r="DP313" s="399">
        <v>-1.8731921995326068</v>
      </c>
      <c r="DQ313" s="399">
        <v>0</v>
      </c>
      <c r="DR313" s="399">
        <v>0</v>
      </c>
      <c r="DS313" s="399"/>
      <c r="DT313" s="399"/>
      <c r="DU313" s="399"/>
      <c r="DV313" s="399">
        <v>5363.5918494301195</v>
      </c>
      <c r="DW313" s="399">
        <v>0</v>
      </c>
      <c r="DX313" s="399">
        <v>0</v>
      </c>
      <c r="DY313" s="399">
        <v>-1032.6771000000008</v>
      </c>
      <c r="DZ313" s="399">
        <v>0</v>
      </c>
      <c r="EA313" s="399">
        <v>0</v>
      </c>
      <c r="EB313" s="399">
        <v>0</v>
      </c>
      <c r="EC313" s="399">
        <v>-953.07791764953981</v>
      </c>
      <c r="ED313" s="399">
        <v>0</v>
      </c>
      <c r="EE313" s="399">
        <v>0</v>
      </c>
      <c r="EF313" s="399">
        <v>0</v>
      </c>
      <c r="EG313" s="399">
        <v>0</v>
      </c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>
        <v>0</v>
      </c>
      <c r="EN313" s="399">
        <v>0</v>
      </c>
      <c r="EO313" s="399">
        <v>0</v>
      </c>
      <c r="EP313" s="399">
        <v>0</v>
      </c>
      <c r="EQ313" s="399">
        <v>0</v>
      </c>
      <c r="ER313" s="399">
        <v>0</v>
      </c>
      <c r="ES313" s="399">
        <v>0</v>
      </c>
      <c r="ET313" s="399">
        <v>0</v>
      </c>
      <c r="EU313" s="399">
        <v>0</v>
      </c>
      <c r="EV313" s="399">
        <v>229</v>
      </c>
      <c r="EW313" s="399">
        <v>0</v>
      </c>
      <c r="EX313" s="399">
        <v>0</v>
      </c>
      <c r="EY313" s="399">
        <v>0</v>
      </c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312</v>
      </c>
      <c r="B314" s="399" t="s">
        <v>954</v>
      </c>
      <c r="C314" s="399" t="s">
        <v>2336</v>
      </c>
      <c r="D314" s="399" t="s">
        <v>1819</v>
      </c>
      <c r="E314" s="399" t="s">
        <v>887</v>
      </c>
      <c r="F314" s="399" t="s">
        <v>2340</v>
      </c>
      <c r="G314" s="399" t="s">
        <v>1237</v>
      </c>
      <c r="H314" s="399" t="s">
        <v>1237</v>
      </c>
      <c r="I314" s="399" t="s">
        <v>1237</v>
      </c>
      <c r="J314" s="399" t="s">
        <v>2337</v>
      </c>
      <c r="K314" s="788">
        <v>44743</v>
      </c>
      <c r="L314" s="399">
        <v>0</v>
      </c>
      <c r="M314" s="399">
        <v>0</v>
      </c>
      <c r="N314" s="399">
        <v>5.52</v>
      </c>
      <c r="O314" s="399">
        <v>5.52</v>
      </c>
      <c r="P314" s="399">
        <v>5.52</v>
      </c>
      <c r="Q314" s="399">
        <v>5.52</v>
      </c>
      <c r="R314" s="399"/>
      <c r="S314" s="399">
        <v>636.83000000000004</v>
      </c>
      <c r="T314" s="399">
        <v>119.97</v>
      </c>
      <c r="U314" s="399"/>
      <c r="V314" s="399">
        <v>4177.5360000000001</v>
      </c>
      <c r="W314" s="399">
        <v>4177.5360000000001</v>
      </c>
      <c r="X314" s="399">
        <v>3673.7255999999993</v>
      </c>
      <c r="Y314" s="399">
        <v>0</v>
      </c>
      <c r="Z314" s="399">
        <v>0</v>
      </c>
      <c r="AA314" s="399">
        <v>0</v>
      </c>
      <c r="AB314" s="399">
        <v>0</v>
      </c>
      <c r="AC314" s="399">
        <v>0</v>
      </c>
      <c r="AD314" s="399">
        <v>593.61644362757545</v>
      </c>
      <c r="AE314" s="399">
        <v>2811.683476624336</v>
      </c>
      <c r="AF314" s="399">
        <v>662.25561100588004</v>
      </c>
      <c r="AG314" s="399">
        <v>0</v>
      </c>
      <c r="AH314" s="399">
        <v>0</v>
      </c>
      <c r="AI314" s="399">
        <v>0</v>
      </c>
      <c r="AJ314" s="399">
        <v>0</v>
      </c>
      <c r="AK314" s="399">
        <v>0</v>
      </c>
      <c r="AL314" s="399">
        <v>0</v>
      </c>
      <c r="AM314" s="399"/>
      <c r="AN314" s="399">
        <v>11.875169106661811</v>
      </c>
      <c r="AO314" s="399">
        <v>0</v>
      </c>
      <c r="AP314" s="399">
        <v>0</v>
      </c>
      <c r="AQ314" s="399">
        <v>0</v>
      </c>
      <c r="AR314" s="399">
        <v>0</v>
      </c>
      <c r="AS314" s="399">
        <v>0</v>
      </c>
      <c r="AT314" s="399">
        <v>0</v>
      </c>
      <c r="AU314" s="399">
        <v>0</v>
      </c>
      <c r="AV314" s="399">
        <v>0</v>
      </c>
      <c r="AW314" s="399">
        <v>0</v>
      </c>
      <c r="AX314" s="399">
        <v>0</v>
      </c>
      <c r="AY314" s="399">
        <v>0</v>
      </c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>
        <v>0</v>
      </c>
      <c r="BG314" s="399">
        <v>98.103722555500212</v>
      </c>
      <c r="BH314" s="399">
        <v>0</v>
      </c>
      <c r="BI314" s="399">
        <v>0</v>
      </c>
      <c r="BJ314" s="399">
        <v>0</v>
      </c>
      <c r="BK314" s="399">
        <v>174.8</v>
      </c>
      <c r="BL314" s="399">
        <v>12</v>
      </c>
      <c r="BM314" s="399"/>
      <c r="BN314" s="399"/>
      <c r="BO314" s="399"/>
      <c r="BP314" s="399"/>
      <c r="BQ314" s="399"/>
      <c r="BR314" s="399"/>
      <c r="BS314" s="399"/>
      <c r="BT314" s="399">
        <v>2387.8967999999995</v>
      </c>
      <c r="BU314" s="399"/>
      <c r="BV314" s="399">
        <v>760.35933356138025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1285.8287999999998</v>
      </c>
      <c r="CJ314" s="399">
        <v>-176.33879999999999</v>
      </c>
      <c r="CK314" s="399"/>
      <c r="CL314" s="399"/>
      <c r="CM314" s="399"/>
      <c r="CN314" s="399"/>
      <c r="CO314" s="399">
        <v>-503.81040000000047</v>
      </c>
      <c r="CP314" s="399">
        <v>0</v>
      </c>
      <c r="CQ314" s="399">
        <v>31</v>
      </c>
      <c r="CR314" s="399">
        <v>-4.1579130586774227</v>
      </c>
      <c r="CS314" s="399">
        <v>0</v>
      </c>
      <c r="CT314" s="399">
        <v>0</v>
      </c>
      <c r="CU314" s="399">
        <v>0</v>
      </c>
      <c r="CV314" s="399">
        <v>0</v>
      </c>
      <c r="CW314" s="399">
        <v>0</v>
      </c>
      <c r="CX314" s="399">
        <v>0</v>
      </c>
      <c r="CY314" s="399">
        <v>0</v>
      </c>
      <c r="CZ314" s="399">
        <v>-3.1759547546489557</v>
      </c>
      <c r="DA314" s="399">
        <v>0</v>
      </c>
      <c r="DB314" s="399">
        <v>0</v>
      </c>
      <c r="DC314" s="399">
        <v>0</v>
      </c>
      <c r="DD314" s="399">
        <v>0</v>
      </c>
      <c r="DE314" s="399">
        <v>0</v>
      </c>
      <c r="DF314" s="399">
        <v>0</v>
      </c>
      <c r="DG314" s="399">
        <v>0</v>
      </c>
      <c r="DH314" s="399">
        <v>0</v>
      </c>
      <c r="DI314" s="399">
        <v>0</v>
      </c>
      <c r="DJ314" s="399"/>
      <c r="DK314" s="399">
        <v>0</v>
      </c>
      <c r="DL314" s="399">
        <v>0</v>
      </c>
      <c r="DM314" s="399">
        <v>0</v>
      </c>
      <c r="DN314" s="399">
        <v>0</v>
      </c>
      <c r="DO314" s="399">
        <v>0</v>
      </c>
      <c r="DP314" s="399">
        <v>-0.98195830402848827</v>
      </c>
      <c r="DQ314" s="399">
        <v>0</v>
      </c>
      <c r="DR314" s="399">
        <v>0</v>
      </c>
      <c r="DS314" s="399"/>
      <c r="DT314" s="399"/>
      <c r="DU314" s="399"/>
      <c r="DV314" s="399">
        <v>2811.683476624336</v>
      </c>
      <c r="DW314" s="399">
        <v>0</v>
      </c>
      <c r="DX314" s="399">
        <v>0</v>
      </c>
      <c r="DY314" s="399">
        <v>-503.8104000000003</v>
      </c>
      <c r="DZ314" s="399">
        <v>0</v>
      </c>
      <c r="EA314" s="399">
        <v>0</v>
      </c>
      <c r="EB314" s="399">
        <v>0</v>
      </c>
      <c r="EC314" s="399">
        <v>-499.61919329776447</v>
      </c>
      <c r="ED314" s="399">
        <v>0</v>
      </c>
      <c r="EE314" s="399">
        <v>0</v>
      </c>
      <c r="EF314" s="399">
        <v>0</v>
      </c>
      <c r="EG314" s="399">
        <v>0</v>
      </c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>
        <v>0</v>
      </c>
      <c r="EN314" s="399">
        <v>0</v>
      </c>
      <c r="EO314" s="399">
        <v>0</v>
      </c>
      <c r="EP314" s="399">
        <v>0</v>
      </c>
      <c r="EQ314" s="399">
        <v>0</v>
      </c>
      <c r="ER314" s="399">
        <v>0</v>
      </c>
      <c r="ES314" s="399">
        <v>0</v>
      </c>
      <c r="ET314" s="399">
        <v>0</v>
      </c>
      <c r="EU314" s="399">
        <v>0</v>
      </c>
      <c r="EV314" s="399">
        <v>229</v>
      </c>
      <c r="EW314" s="399">
        <v>0</v>
      </c>
      <c r="EX314" s="399">
        <v>0</v>
      </c>
      <c r="EY314" s="399">
        <v>0</v>
      </c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313</v>
      </c>
      <c r="B315" s="399" t="s">
        <v>954</v>
      </c>
      <c r="C315" s="399" t="s">
        <v>2336</v>
      </c>
      <c r="D315" s="399" t="s">
        <v>1819</v>
      </c>
      <c r="E315" s="399" t="s">
        <v>887</v>
      </c>
      <c r="F315" s="399" t="s">
        <v>2341</v>
      </c>
      <c r="G315" s="399" t="s">
        <v>1237</v>
      </c>
      <c r="H315" s="399" t="s">
        <v>1237</v>
      </c>
      <c r="I315" s="399" t="s">
        <v>1237</v>
      </c>
      <c r="J315" s="399" t="s">
        <v>2337</v>
      </c>
      <c r="K315" s="788">
        <v>44743</v>
      </c>
      <c r="L315" s="399">
        <v>0</v>
      </c>
      <c r="M315" s="399">
        <v>0</v>
      </c>
      <c r="N315" s="399">
        <v>11.169</v>
      </c>
      <c r="O315" s="399">
        <v>11.169</v>
      </c>
      <c r="P315" s="399">
        <v>11.169</v>
      </c>
      <c r="Q315" s="399">
        <v>11.169</v>
      </c>
      <c r="R315" s="399"/>
      <c r="S315" s="399">
        <v>636.83000000000004</v>
      </c>
      <c r="T315" s="399">
        <v>119.97</v>
      </c>
      <c r="U315" s="399"/>
      <c r="V315" s="399">
        <v>8452.6992000000009</v>
      </c>
      <c r="W315" s="399">
        <v>8452.6992000000009</v>
      </c>
      <c r="X315" s="399">
        <v>7433.3045700000002</v>
      </c>
      <c r="Y315" s="399">
        <v>0</v>
      </c>
      <c r="Z315" s="399">
        <v>0</v>
      </c>
      <c r="AA315" s="399">
        <v>0</v>
      </c>
      <c r="AB315" s="399">
        <v>0</v>
      </c>
      <c r="AC315" s="399">
        <v>0</v>
      </c>
      <c r="AD315" s="399">
        <v>1201.1054454486214</v>
      </c>
      <c r="AE315" s="399">
        <v>5689.0747736263065</v>
      </c>
      <c r="AF315" s="399">
        <v>1339.9878477037455</v>
      </c>
      <c r="AG315" s="399">
        <v>0</v>
      </c>
      <c r="AH315" s="399">
        <v>0</v>
      </c>
      <c r="AI315" s="399">
        <v>0</v>
      </c>
      <c r="AJ315" s="399">
        <v>0</v>
      </c>
      <c r="AK315" s="399">
        <v>0</v>
      </c>
      <c r="AL315" s="399">
        <v>0</v>
      </c>
      <c r="AM315" s="399"/>
      <c r="AN315" s="399">
        <v>24.027855752229311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198.50008645333008</v>
      </c>
      <c r="BH315" s="399">
        <v>0</v>
      </c>
      <c r="BI315" s="399">
        <v>0</v>
      </c>
      <c r="BJ315" s="399">
        <v>0</v>
      </c>
      <c r="BK315" s="399">
        <v>607.91999999999996</v>
      </c>
      <c r="BL315" s="399">
        <v>32</v>
      </c>
      <c r="BM315" s="399"/>
      <c r="BN315" s="399"/>
      <c r="BO315" s="399"/>
      <c r="BP315" s="399"/>
      <c r="BQ315" s="399"/>
      <c r="BR315" s="399"/>
      <c r="BS315" s="399"/>
      <c r="BT315" s="399">
        <v>2973.2994899999999</v>
      </c>
      <c r="BU315" s="399"/>
      <c r="BV315" s="399">
        <v>1538.4879341570756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4460.4043999999994</v>
      </c>
      <c r="CJ315" s="399">
        <v>-611.24512000000232</v>
      </c>
      <c r="CK315" s="399"/>
      <c r="CL315" s="399"/>
      <c r="CM315" s="399"/>
      <c r="CN315" s="399"/>
      <c r="CO315" s="399">
        <v>-1019.3946300000011</v>
      </c>
      <c r="CP315" s="399">
        <v>0</v>
      </c>
      <c r="CQ315" s="399">
        <v>31</v>
      </c>
      <c r="CR315" s="399">
        <v>-8.41299473774734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-6.4261301910639759</v>
      </c>
      <c r="DA315" s="399">
        <v>0</v>
      </c>
      <c r="DB315" s="399">
        <v>0</v>
      </c>
      <c r="DC315" s="399">
        <v>0</v>
      </c>
      <c r="DD315" s="399">
        <v>0</v>
      </c>
      <c r="DE315" s="399">
        <v>0</v>
      </c>
      <c r="DF315" s="399">
        <v>0</v>
      </c>
      <c r="DG315" s="399">
        <v>0</v>
      </c>
      <c r="DH315" s="399">
        <v>0</v>
      </c>
      <c r="DI315" s="399">
        <v>0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0</v>
      </c>
      <c r="DP315" s="399">
        <v>-1.98686454668373</v>
      </c>
      <c r="DQ315" s="399">
        <v>0</v>
      </c>
      <c r="DR315" s="399">
        <v>0</v>
      </c>
      <c r="DS315" s="399"/>
      <c r="DT315" s="399"/>
      <c r="DU315" s="399"/>
      <c r="DV315" s="399">
        <v>5689.0747736263065</v>
      </c>
      <c r="DW315" s="399">
        <v>0</v>
      </c>
      <c r="DX315" s="399">
        <v>0</v>
      </c>
      <c r="DY315" s="399">
        <v>-1019.3946300000007</v>
      </c>
      <c r="DZ315" s="399">
        <v>0</v>
      </c>
      <c r="EA315" s="399">
        <v>0</v>
      </c>
      <c r="EB315" s="399">
        <v>0</v>
      </c>
      <c r="EC315" s="399">
        <v>-1010.9142699171616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229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314</v>
      </c>
      <c r="B316" s="399" t="s">
        <v>954</v>
      </c>
      <c r="C316" s="399" t="s">
        <v>2336</v>
      </c>
      <c r="D316" s="399" t="s">
        <v>1819</v>
      </c>
      <c r="E316" s="399" t="s">
        <v>887</v>
      </c>
      <c r="F316" s="399" t="s">
        <v>2342</v>
      </c>
      <c r="G316" s="399" t="s">
        <v>1237</v>
      </c>
      <c r="H316" s="399" t="s">
        <v>1237</v>
      </c>
      <c r="I316" s="399" t="s">
        <v>1237</v>
      </c>
      <c r="J316" s="399" t="s">
        <v>2337</v>
      </c>
      <c r="K316" s="788">
        <v>44743</v>
      </c>
      <c r="L316" s="399">
        <v>0</v>
      </c>
      <c r="M316" s="399">
        <v>0</v>
      </c>
      <c r="N316" s="399">
        <v>10.829000000000001</v>
      </c>
      <c r="O316" s="399">
        <v>10.829000000000001</v>
      </c>
      <c r="P316" s="399">
        <v>10.829000000000001</v>
      </c>
      <c r="Q316" s="399">
        <v>10.829000000000001</v>
      </c>
      <c r="R316" s="399"/>
      <c r="S316" s="399">
        <v>636.83000000000004</v>
      </c>
      <c r="T316" s="399">
        <v>119.97</v>
      </c>
      <c r="U316" s="399"/>
      <c r="V316" s="399">
        <v>8195.387200000001</v>
      </c>
      <c r="W316" s="399">
        <v>8195.387200000001</v>
      </c>
      <c r="X316" s="399">
        <v>7207.0243700000001</v>
      </c>
      <c r="Y316" s="399">
        <v>0</v>
      </c>
      <c r="Z316" s="399">
        <v>0</v>
      </c>
      <c r="AA316" s="399">
        <v>0</v>
      </c>
      <c r="AB316" s="399">
        <v>0</v>
      </c>
      <c r="AC316" s="399">
        <v>0</v>
      </c>
      <c r="AD316" s="399">
        <v>1164.5421137759085</v>
      </c>
      <c r="AE316" s="399">
        <v>5515.8913710806046</v>
      </c>
      <c r="AF316" s="399">
        <v>1299.1967412287456</v>
      </c>
      <c r="AG316" s="399">
        <v>0</v>
      </c>
      <c r="AH316" s="399">
        <v>0</v>
      </c>
      <c r="AI316" s="399">
        <v>0</v>
      </c>
      <c r="AJ316" s="399">
        <v>0</v>
      </c>
      <c r="AK316" s="399">
        <v>0</v>
      </c>
      <c r="AL316" s="399">
        <v>0</v>
      </c>
      <c r="AM316" s="399"/>
      <c r="AN316" s="399">
        <v>23.296414176818981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>
        <v>0</v>
      </c>
      <c r="BG316" s="399">
        <v>192.45746586114348</v>
      </c>
      <c r="BH316" s="399">
        <v>0</v>
      </c>
      <c r="BI316" s="399">
        <v>0</v>
      </c>
      <c r="BJ316" s="399">
        <v>0</v>
      </c>
      <c r="BK316" s="399">
        <v>1088.51</v>
      </c>
      <c r="BL316" s="399">
        <v>93</v>
      </c>
      <c r="BM316" s="399"/>
      <c r="BN316" s="399"/>
      <c r="BO316" s="399"/>
      <c r="BP316" s="399"/>
      <c r="BQ316" s="399"/>
      <c r="BR316" s="399"/>
      <c r="BS316" s="399"/>
      <c r="BT316" s="399">
        <v>720.56165999999951</v>
      </c>
      <c r="BU316" s="399"/>
      <c r="BV316" s="399">
        <v>1491.654207089889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6487.0617000000002</v>
      </c>
      <c r="CJ316" s="399">
        <v>-888.81678000000102</v>
      </c>
      <c r="CK316" s="399"/>
      <c r="CL316" s="399"/>
      <c r="CM316" s="399"/>
      <c r="CN316" s="399"/>
      <c r="CO316" s="399">
        <v>-988.36283000000105</v>
      </c>
      <c r="CP316" s="399">
        <v>0</v>
      </c>
      <c r="CQ316" s="399">
        <v>31</v>
      </c>
      <c r="CR316" s="399">
        <v>-8.1568913971768779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-6.2305097895095969</v>
      </c>
      <c r="DA316" s="399">
        <v>0</v>
      </c>
      <c r="DB316" s="399">
        <v>0</v>
      </c>
      <c r="DC316" s="399">
        <v>0</v>
      </c>
      <c r="DD316" s="399">
        <v>0</v>
      </c>
      <c r="DE316" s="399">
        <v>0</v>
      </c>
      <c r="DF316" s="399">
        <v>0</v>
      </c>
      <c r="DG316" s="399">
        <v>0</v>
      </c>
      <c r="DH316" s="399">
        <v>0</v>
      </c>
      <c r="DI316" s="399">
        <v>0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0</v>
      </c>
      <c r="DP316" s="399">
        <v>-1.92638160766748</v>
      </c>
      <c r="DQ316" s="399">
        <v>0</v>
      </c>
      <c r="DR316" s="399">
        <v>0</v>
      </c>
      <c r="DS316" s="399"/>
      <c r="DT316" s="399"/>
      <c r="DU316" s="399"/>
      <c r="DV316" s="399">
        <v>5515.8913710806046</v>
      </c>
      <c r="DW316" s="399">
        <v>0</v>
      </c>
      <c r="DX316" s="399">
        <v>0</v>
      </c>
      <c r="DY316" s="399">
        <v>-988.36283000000094</v>
      </c>
      <c r="DZ316" s="399">
        <v>0</v>
      </c>
      <c r="EA316" s="399">
        <v>0</v>
      </c>
      <c r="EB316" s="399">
        <v>0</v>
      </c>
      <c r="EC316" s="399">
        <v>-980.14062395316796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0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229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315</v>
      </c>
      <c r="B317" s="399" t="s">
        <v>954</v>
      </c>
      <c r="C317" s="399" t="s">
        <v>2336</v>
      </c>
      <c r="D317" s="399" t="s">
        <v>1819</v>
      </c>
      <c r="E317" s="399" t="s">
        <v>887</v>
      </c>
      <c r="F317" s="399" t="s">
        <v>2343</v>
      </c>
      <c r="G317" s="399" t="s">
        <v>1237</v>
      </c>
      <c r="H317" s="399" t="s">
        <v>1237</v>
      </c>
      <c r="I317" s="399" t="s">
        <v>1237</v>
      </c>
      <c r="J317" s="399" t="s">
        <v>2337</v>
      </c>
      <c r="K317" s="788">
        <v>44743</v>
      </c>
      <c r="L317" s="399">
        <v>0</v>
      </c>
      <c r="M317" s="399">
        <v>0</v>
      </c>
      <c r="N317" s="399">
        <v>3.0920000000000001</v>
      </c>
      <c r="O317" s="399">
        <v>3.0920000000000001</v>
      </c>
      <c r="P317" s="399">
        <v>3.0920000000000001</v>
      </c>
      <c r="Q317" s="399">
        <v>3.0920000000000001</v>
      </c>
      <c r="R317" s="399"/>
      <c r="S317" s="399">
        <v>636.83000000000004</v>
      </c>
      <c r="T317" s="399">
        <v>119.97</v>
      </c>
      <c r="U317" s="399"/>
      <c r="V317" s="399">
        <v>2340.0256000000004</v>
      </c>
      <c r="W317" s="399">
        <v>2340.0256000000004</v>
      </c>
      <c r="X317" s="399">
        <v>2057.8187600000001</v>
      </c>
      <c r="Y317" s="399">
        <v>0</v>
      </c>
      <c r="Z317" s="399">
        <v>0</v>
      </c>
      <c r="AA317" s="399">
        <v>0</v>
      </c>
      <c r="AB317" s="399">
        <v>0</v>
      </c>
      <c r="AC317" s="399">
        <v>0</v>
      </c>
      <c r="AD317" s="399">
        <v>332.51123980008396</v>
      </c>
      <c r="AE317" s="399">
        <v>1574.9502372685592</v>
      </c>
      <c r="AF317" s="399">
        <v>370.95912123735167</v>
      </c>
      <c r="AG317" s="399">
        <v>0</v>
      </c>
      <c r="AH317" s="399">
        <v>0</v>
      </c>
      <c r="AI317" s="399">
        <v>0</v>
      </c>
      <c r="AJ317" s="399">
        <v>0</v>
      </c>
      <c r="AK317" s="399">
        <v>0</v>
      </c>
      <c r="AL317" s="399">
        <v>0</v>
      </c>
      <c r="AM317" s="399"/>
      <c r="AN317" s="399">
        <v>6.6518157387315808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>
        <v>0</v>
      </c>
      <c r="BG317" s="399">
        <v>54.952302561885269</v>
      </c>
      <c r="BH317" s="399">
        <v>0</v>
      </c>
      <c r="BI317" s="399">
        <v>0</v>
      </c>
      <c r="BJ317" s="399">
        <v>0</v>
      </c>
      <c r="BK317" s="399">
        <v>421.43</v>
      </c>
      <c r="BL317" s="399">
        <v>47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>
        <v>425.91142379923696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2056.4876999999997</v>
      </c>
      <c r="CJ317" s="399">
        <v>-283.56790000000092</v>
      </c>
      <c r="CK317" s="399"/>
      <c r="CL317" s="399"/>
      <c r="CM317" s="399"/>
      <c r="CN317" s="399"/>
      <c r="CO317" s="399">
        <v>-282.20684000000028</v>
      </c>
      <c r="CP317" s="399">
        <v>0</v>
      </c>
      <c r="CQ317" s="399">
        <v>31</v>
      </c>
      <c r="CR317" s="399">
        <v>-2.3290339089546706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-1.7789949459011609</v>
      </c>
      <c r="DA317" s="399">
        <v>0</v>
      </c>
      <c r="DB317" s="399">
        <v>0</v>
      </c>
      <c r="DC317" s="399">
        <v>0</v>
      </c>
      <c r="DD317" s="399">
        <v>0</v>
      </c>
      <c r="DE317" s="399">
        <v>0</v>
      </c>
      <c r="DF317" s="399">
        <v>0</v>
      </c>
      <c r="DG317" s="399">
        <v>0</v>
      </c>
      <c r="DH317" s="399">
        <v>0</v>
      </c>
      <c r="DI317" s="399">
        <v>0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0</v>
      </c>
      <c r="DP317" s="399">
        <v>-0.55003896305363842</v>
      </c>
      <c r="DQ317" s="399">
        <v>0</v>
      </c>
      <c r="DR317" s="399">
        <v>0</v>
      </c>
      <c r="DS317" s="399"/>
      <c r="DT317" s="399"/>
      <c r="DU317" s="399"/>
      <c r="DV317" s="399">
        <v>1574.9502372685592</v>
      </c>
      <c r="DW317" s="399">
        <v>0</v>
      </c>
      <c r="DX317" s="399">
        <v>0</v>
      </c>
      <c r="DY317" s="399">
        <v>-282.20684000000028</v>
      </c>
      <c r="DZ317" s="399">
        <v>0</v>
      </c>
      <c r="EA317" s="399">
        <v>0</v>
      </c>
      <c r="EB317" s="399">
        <v>0</v>
      </c>
      <c r="EC317" s="399">
        <v>-279.85915682548671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0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229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316</v>
      </c>
      <c r="B318" s="399" t="s">
        <v>954</v>
      </c>
      <c r="C318" s="399" t="s">
        <v>2336</v>
      </c>
      <c r="D318" s="399" t="s">
        <v>1822</v>
      </c>
      <c r="E318" s="399" t="s">
        <v>888</v>
      </c>
      <c r="F318" s="399" t="s">
        <v>1237</v>
      </c>
      <c r="G318" s="399" t="s">
        <v>1237</v>
      </c>
      <c r="H318" s="399" t="s">
        <v>1237</v>
      </c>
      <c r="I318" s="399" t="s">
        <v>1237</v>
      </c>
      <c r="J318" s="399" t="s">
        <v>2337</v>
      </c>
      <c r="K318" s="788">
        <v>44743</v>
      </c>
      <c r="L318" s="399">
        <v>0</v>
      </c>
      <c r="M318" s="399">
        <v>0</v>
      </c>
      <c r="N318" s="399">
        <v>120.703</v>
      </c>
      <c r="O318" s="399">
        <v>120.703</v>
      </c>
      <c r="P318" s="399">
        <v>120.703</v>
      </c>
      <c r="Q318" s="399">
        <v>120.703</v>
      </c>
      <c r="R318" s="399"/>
      <c r="S318" s="399">
        <v>707.13</v>
      </c>
      <c r="T318" s="399">
        <v>119.97</v>
      </c>
      <c r="U318" s="399"/>
      <c r="V318" s="399">
        <v>99833.451300000001</v>
      </c>
      <c r="W318" s="399">
        <v>99833.451300000001</v>
      </c>
      <c r="X318" s="399">
        <v>87996.108089999994</v>
      </c>
      <c r="Y318" s="399">
        <v>0</v>
      </c>
      <c r="Z318" s="399">
        <v>7350.1946497180725</v>
      </c>
      <c r="AA318" s="399">
        <v>0</v>
      </c>
      <c r="AB318" s="399">
        <v>0</v>
      </c>
      <c r="AC318" s="399">
        <v>0</v>
      </c>
      <c r="AD318" s="399">
        <v>12980.305361445515</v>
      </c>
      <c r="AE318" s="399">
        <v>61481.635992570154</v>
      </c>
      <c r="AF318" s="399">
        <v>14481.202720152671</v>
      </c>
      <c r="AG318" s="399">
        <v>0</v>
      </c>
      <c r="AH318" s="399">
        <v>0</v>
      </c>
      <c r="AI318" s="399">
        <v>0</v>
      </c>
      <c r="AJ318" s="399">
        <v>0</v>
      </c>
      <c r="AK318" s="399">
        <v>0</v>
      </c>
      <c r="AL318" s="399">
        <v>1135.8424978767075</v>
      </c>
      <c r="AM318" s="399"/>
      <c r="AN318" s="399">
        <v>259.66821316692045</v>
      </c>
      <c r="AO318" s="399">
        <v>0</v>
      </c>
      <c r="AP318" s="399">
        <v>0</v>
      </c>
      <c r="AQ318" s="399">
        <v>0</v>
      </c>
      <c r="AR318" s="399">
        <v>0</v>
      </c>
      <c r="AS318" s="399">
        <v>0</v>
      </c>
      <c r="AT318" s="399">
        <v>0</v>
      </c>
      <c r="AU318" s="399">
        <v>0</v>
      </c>
      <c r="AV318" s="399">
        <v>0</v>
      </c>
      <c r="AW318" s="399">
        <v>0</v>
      </c>
      <c r="AX318" s="399">
        <v>0</v>
      </c>
      <c r="AY318" s="399">
        <v>0</v>
      </c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>
        <v>0</v>
      </c>
      <c r="BG318" s="399">
        <v>2145.1836274667653</v>
      </c>
      <c r="BH318" s="399">
        <v>0</v>
      </c>
      <c r="BI318" s="399">
        <v>0</v>
      </c>
      <c r="BJ318" s="399">
        <v>0</v>
      </c>
      <c r="BK318" s="399">
        <v>18023.29</v>
      </c>
      <c r="BL318" s="399">
        <v>67</v>
      </c>
      <c r="BM318" s="399"/>
      <c r="BN318" s="399"/>
      <c r="BO318" s="399"/>
      <c r="BP318" s="399"/>
      <c r="BQ318" s="399"/>
      <c r="BR318" s="399"/>
      <c r="BS318" s="399"/>
      <c r="BT318" s="399"/>
      <c r="BU318" s="399"/>
      <c r="BV318" s="399">
        <v>16626.386347619435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87993.921000000002</v>
      </c>
      <c r="CJ318" s="399">
        <v>-11839.560299999983</v>
      </c>
      <c r="CK318" s="399"/>
      <c r="CL318" s="399"/>
      <c r="CM318" s="399"/>
      <c r="CN318" s="399"/>
      <c r="CO318" s="399">
        <v>-11837.343210000006</v>
      </c>
      <c r="CP318" s="399">
        <v>0</v>
      </c>
      <c r="CQ318" s="399">
        <v>31</v>
      </c>
      <c r="CR318" s="399">
        <v>-912.31235550181736</v>
      </c>
      <c r="CS318" s="399">
        <v>0</v>
      </c>
      <c r="CT318" s="399">
        <v>0</v>
      </c>
      <c r="CU318" s="399">
        <v>0</v>
      </c>
      <c r="CV318" s="399">
        <v>0</v>
      </c>
      <c r="CW318" s="399">
        <v>0</v>
      </c>
      <c r="CX318" s="399">
        <v>0</v>
      </c>
      <c r="CY318" s="399">
        <v>0</v>
      </c>
      <c r="CZ318" s="399">
        <v>-69.446968614200159</v>
      </c>
      <c r="DA318" s="399">
        <v>0</v>
      </c>
      <c r="DB318" s="399">
        <v>0</v>
      </c>
      <c r="DC318" s="399">
        <v>0</v>
      </c>
      <c r="DD318" s="399">
        <v>0</v>
      </c>
      <c r="DE318" s="399">
        <v>0</v>
      </c>
      <c r="DF318" s="399">
        <v>0</v>
      </c>
      <c r="DG318" s="399">
        <v>0</v>
      </c>
      <c r="DH318" s="399">
        <v>0</v>
      </c>
      <c r="DI318" s="399">
        <v>-724.59883801865726</v>
      </c>
      <c r="DJ318" s="399"/>
      <c r="DK318" s="399">
        <v>0</v>
      </c>
      <c r="DL318" s="399">
        <v>0</v>
      </c>
      <c r="DM318" s="399">
        <v>0</v>
      </c>
      <c r="DN318" s="399">
        <v>0</v>
      </c>
      <c r="DO318" s="399">
        <v>-96.794571845200835</v>
      </c>
      <c r="DP318" s="399">
        <v>-21.471977023759194</v>
      </c>
      <c r="DQ318" s="399">
        <v>0</v>
      </c>
      <c r="DR318" s="399">
        <v>0</v>
      </c>
      <c r="DS318" s="399"/>
      <c r="DT318" s="399"/>
      <c r="DU318" s="399"/>
      <c r="DV318" s="399">
        <v>61481.635992570154</v>
      </c>
      <c r="DW318" s="399">
        <v>0</v>
      </c>
      <c r="DX318" s="399">
        <v>0</v>
      </c>
      <c r="DY318" s="399">
        <v>-11837.343210000006</v>
      </c>
      <c r="DZ318" s="399">
        <v>0</v>
      </c>
      <c r="EA318" s="399">
        <v>0</v>
      </c>
      <c r="EB318" s="399">
        <v>0</v>
      </c>
      <c r="EC318" s="399">
        <v>-10924.915849387689</v>
      </c>
      <c r="ED318" s="399">
        <v>0</v>
      </c>
      <c r="EE318" s="399">
        <v>0</v>
      </c>
      <c r="EF318" s="399">
        <v>0</v>
      </c>
      <c r="EG318" s="399">
        <v>0</v>
      </c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>
        <v>0</v>
      </c>
      <c r="EN318" s="399">
        <v>0</v>
      </c>
      <c r="EO318" s="399">
        <v>0</v>
      </c>
      <c r="EP318" s="399">
        <v>0</v>
      </c>
      <c r="EQ318" s="399">
        <v>0</v>
      </c>
      <c r="ER318" s="399">
        <v>0</v>
      </c>
      <c r="ES318" s="399">
        <v>0</v>
      </c>
      <c r="ET318" s="399">
        <v>0</v>
      </c>
      <c r="EU318" s="399">
        <v>0</v>
      </c>
      <c r="EV318" s="399">
        <v>229</v>
      </c>
      <c r="EW318" s="399">
        <v>0</v>
      </c>
      <c r="EX318" s="399">
        <v>0</v>
      </c>
      <c r="EY318" s="399">
        <v>0</v>
      </c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317</v>
      </c>
      <c r="B319" s="399" t="s">
        <v>2338</v>
      </c>
      <c r="C319" s="399" t="s">
        <v>2336</v>
      </c>
      <c r="D319" s="399" t="s">
        <v>1822</v>
      </c>
      <c r="E319" s="399" t="s">
        <v>888</v>
      </c>
      <c r="F319" s="399" t="s">
        <v>1237</v>
      </c>
      <c r="G319" s="399" t="s">
        <v>1237</v>
      </c>
      <c r="H319" s="399" t="s">
        <v>1237</v>
      </c>
      <c r="I319" s="399" t="s">
        <v>1237</v>
      </c>
      <c r="J319" s="399" t="s">
        <v>2337</v>
      </c>
      <c r="K319" s="788">
        <v>44743</v>
      </c>
      <c r="L319" s="399">
        <v>0</v>
      </c>
      <c r="M319" s="399">
        <v>0</v>
      </c>
      <c r="N319" s="399">
        <v>-0.33900000000000002</v>
      </c>
      <c r="O319" s="399">
        <v>-0.33900000000000002</v>
      </c>
      <c r="P319" s="399">
        <v>-0.33900000000000002</v>
      </c>
      <c r="Q319" s="399">
        <v>-0.33900000000000002</v>
      </c>
      <c r="R319" s="399"/>
      <c r="S319" s="399">
        <v>707.13</v>
      </c>
      <c r="T319" s="399">
        <v>119.97</v>
      </c>
      <c r="U319" s="399"/>
      <c r="V319" s="399">
        <v>-280.38690000000003</v>
      </c>
      <c r="W319" s="399">
        <v>-280.38690000000003</v>
      </c>
      <c r="X319" s="399">
        <v>-247.14116999999999</v>
      </c>
      <c r="Y319" s="399">
        <v>0</v>
      </c>
      <c r="Z319" s="399">
        <v>-20.643364176983393</v>
      </c>
      <c r="AA319" s="399">
        <v>0</v>
      </c>
      <c r="AB319" s="399">
        <v>0</v>
      </c>
      <c r="AC319" s="399">
        <v>0</v>
      </c>
      <c r="AD319" s="399">
        <v>-36.455792461910889</v>
      </c>
      <c r="AE319" s="399">
        <v>-172.67403959703805</v>
      </c>
      <c r="AF319" s="399">
        <v>-40.671132632426335</v>
      </c>
      <c r="AG319" s="399">
        <v>0</v>
      </c>
      <c r="AH319" s="399">
        <v>0</v>
      </c>
      <c r="AI319" s="399">
        <v>0</v>
      </c>
      <c r="AJ319" s="399">
        <v>0</v>
      </c>
      <c r="AK319" s="399">
        <v>0</v>
      </c>
      <c r="AL319" s="399">
        <v>-3.1900665831023574</v>
      </c>
      <c r="AM319" s="399"/>
      <c r="AN319" s="399">
        <v>-0.72929027665912227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-6.0248481786801769</v>
      </c>
      <c r="BH319" s="399">
        <v>0</v>
      </c>
      <c r="BI319" s="399">
        <v>0</v>
      </c>
      <c r="BJ319" s="399">
        <v>0</v>
      </c>
      <c r="BK319" s="399">
        <v>-82.38</v>
      </c>
      <c r="BL319" s="399">
        <v>0</v>
      </c>
      <c r="BM319" s="399"/>
      <c r="BN319" s="399"/>
      <c r="BO319" s="399"/>
      <c r="BP319" s="399"/>
      <c r="BQ319" s="399"/>
      <c r="BR319" s="399"/>
      <c r="BS319" s="399"/>
      <c r="BT319" s="399"/>
      <c r="BU319" s="399"/>
      <c r="BV319" s="399">
        <v>-46.695980811106509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-247.87020000000001</v>
      </c>
      <c r="CJ319" s="399">
        <v>32.486700000000042</v>
      </c>
      <c r="CK319" s="399"/>
      <c r="CL319" s="399"/>
      <c r="CM319" s="399"/>
      <c r="CN319" s="399"/>
      <c r="CO319" s="399">
        <v>33.245730000000016</v>
      </c>
      <c r="CP319" s="399">
        <v>0</v>
      </c>
      <c r="CQ319" s="399">
        <v>31</v>
      </c>
      <c r="CR319" s="399">
        <v>2.5622717622189697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0.19504504743224516</v>
      </c>
      <c r="DA319" s="399">
        <v>0</v>
      </c>
      <c r="DB319" s="399">
        <v>0</v>
      </c>
      <c r="DC319" s="399">
        <v>0</v>
      </c>
      <c r="DD319" s="399">
        <v>0</v>
      </c>
      <c r="DE319" s="399">
        <v>0</v>
      </c>
      <c r="DF319" s="399">
        <v>0</v>
      </c>
      <c r="DG319" s="399">
        <v>0</v>
      </c>
      <c r="DH319" s="399">
        <v>0</v>
      </c>
      <c r="DI319" s="399">
        <v>2.0350696013216307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0.27185206544595442</v>
      </c>
      <c r="DP319" s="399">
        <v>6.0305048019140939E-2</v>
      </c>
      <c r="DQ319" s="399">
        <v>0</v>
      </c>
      <c r="DR319" s="399">
        <v>0</v>
      </c>
      <c r="DS319" s="399"/>
      <c r="DT319" s="399"/>
      <c r="DU319" s="399"/>
      <c r="DV319" s="399">
        <v>-172.67403959703805</v>
      </c>
      <c r="DW319" s="399">
        <v>0</v>
      </c>
      <c r="DX319" s="399">
        <v>0</v>
      </c>
      <c r="DY319" s="399">
        <v>33.245730000000009</v>
      </c>
      <c r="DZ319" s="399">
        <v>0</v>
      </c>
      <c r="EA319" s="399">
        <v>0</v>
      </c>
      <c r="EB319" s="399">
        <v>0</v>
      </c>
      <c r="EC319" s="399">
        <v>30.683135240569214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229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318</v>
      </c>
      <c r="B320" s="399" t="s">
        <v>2339</v>
      </c>
      <c r="C320" s="399" t="s">
        <v>2336</v>
      </c>
      <c r="D320" s="399" t="s">
        <v>1822</v>
      </c>
      <c r="E320" s="399" t="s">
        <v>888</v>
      </c>
      <c r="F320" s="399" t="s">
        <v>1237</v>
      </c>
      <c r="G320" s="399" t="s">
        <v>1237</v>
      </c>
      <c r="H320" s="399" t="s">
        <v>1237</v>
      </c>
      <c r="I320" s="399" t="s">
        <v>1237</v>
      </c>
      <c r="J320" s="399" t="s">
        <v>2337</v>
      </c>
      <c r="K320" s="788">
        <v>44743</v>
      </c>
      <c r="L320" s="399">
        <v>0</v>
      </c>
      <c r="M320" s="399">
        <v>0</v>
      </c>
      <c r="N320" s="399">
        <v>2.363</v>
      </c>
      <c r="O320" s="399">
        <v>2.363</v>
      </c>
      <c r="P320" s="399">
        <v>2.363</v>
      </c>
      <c r="Q320" s="399">
        <v>2.363</v>
      </c>
      <c r="R320" s="399"/>
      <c r="S320" s="399">
        <v>707.13</v>
      </c>
      <c r="T320" s="399">
        <v>119.97</v>
      </c>
      <c r="U320" s="399"/>
      <c r="V320" s="399">
        <v>1954.4373000000001</v>
      </c>
      <c r="W320" s="399">
        <v>1954.4373000000001</v>
      </c>
      <c r="X320" s="399">
        <v>1722.6978899999999</v>
      </c>
      <c r="Y320" s="399">
        <v>0</v>
      </c>
      <c r="Z320" s="399">
        <v>143.89460044310252</v>
      </c>
      <c r="AA320" s="399">
        <v>0</v>
      </c>
      <c r="AB320" s="399">
        <v>0</v>
      </c>
      <c r="AC320" s="399">
        <v>0</v>
      </c>
      <c r="AD320" s="399">
        <v>254.11515512535522</v>
      </c>
      <c r="AE320" s="399">
        <v>1203.6246476926278</v>
      </c>
      <c r="AF320" s="399">
        <v>283.49819000124904</v>
      </c>
      <c r="AG320" s="399">
        <v>0</v>
      </c>
      <c r="AH320" s="399">
        <v>0</v>
      </c>
      <c r="AI320" s="399">
        <v>0</v>
      </c>
      <c r="AJ320" s="399">
        <v>0</v>
      </c>
      <c r="AK320" s="399">
        <v>0</v>
      </c>
      <c r="AL320" s="399">
        <v>22.236363822627933</v>
      </c>
      <c r="AM320" s="399"/>
      <c r="AN320" s="399">
        <v>5.0835189491017871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41.996213115696925</v>
      </c>
      <c r="BH320" s="399">
        <v>0</v>
      </c>
      <c r="BI320" s="399">
        <v>0</v>
      </c>
      <c r="BJ320" s="399">
        <v>0</v>
      </c>
      <c r="BK320" s="399">
        <v>696.41</v>
      </c>
      <c r="BL320" s="399">
        <v>2</v>
      </c>
      <c r="BM320" s="399"/>
      <c r="BN320" s="399"/>
      <c r="BO320" s="399"/>
      <c r="BP320" s="399"/>
      <c r="BQ320" s="399"/>
      <c r="BR320" s="399"/>
      <c r="BS320" s="399"/>
      <c r="BT320" s="399"/>
      <c r="BU320" s="399"/>
      <c r="BV320" s="399">
        <v>325.49440311694599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1720.5107999999996</v>
      </c>
      <c r="CJ320" s="399">
        <v>-233.95650000000046</v>
      </c>
      <c r="CK320" s="399"/>
      <c r="CL320" s="399"/>
      <c r="CM320" s="399"/>
      <c r="CN320" s="399"/>
      <c r="CO320" s="399">
        <v>-231.73941000000011</v>
      </c>
      <c r="CP320" s="399">
        <v>0</v>
      </c>
      <c r="CQ320" s="399">
        <v>31</v>
      </c>
      <c r="CR320" s="399">
        <v>-17.860319097709407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-1.3595617908034967</v>
      </c>
      <c r="DA320" s="399">
        <v>0</v>
      </c>
      <c r="DB320" s="399">
        <v>0</v>
      </c>
      <c r="DC320" s="399">
        <v>0</v>
      </c>
      <c r="DD320" s="399">
        <v>0</v>
      </c>
      <c r="DE320" s="399">
        <v>0</v>
      </c>
      <c r="DF320" s="399">
        <v>0</v>
      </c>
      <c r="DG320" s="399">
        <v>0</v>
      </c>
      <c r="DH320" s="399">
        <v>0</v>
      </c>
      <c r="DI320" s="399">
        <v>-14.185455657590012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-1.8949452231527708</v>
      </c>
      <c r="DP320" s="399">
        <v>-0.42035642616292002</v>
      </c>
      <c r="DQ320" s="399">
        <v>0</v>
      </c>
      <c r="DR320" s="399">
        <v>0</v>
      </c>
      <c r="DS320" s="399"/>
      <c r="DT320" s="399"/>
      <c r="DU320" s="399"/>
      <c r="DV320" s="399">
        <v>1203.6246476926278</v>
      </c>
      <c r="DW320" s="399">
        <v>0</v>
      </c>
      <c r="DX320" s="399">
        <v>0</v>
      </c>
      <c r="DY320" s="399">
        <v>-231.73941000000013</v>
      </c>
      <c r="DZ320" s="399">
        <v>0</v>
      </c>
      <c r="EA320" s="399">
        <v>0</v>
      </c>
      <c r="EB320" s="399">
        <v>0</v>
      </c>
      <c r="EC320" s="399">
        <v>-213.87683944974935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0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229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319</v>
      </c>
      <c r="B321" s="399" t="s">
        <v>954</v>
      </c>
      <c r="C321" s="399" t="s">
        <v>2344</v>
      </c>
      <c r="D321" s="399" t="s">
        <v>533</v>
      </c>
      <c r="E321" s="399" t="s">
        <v>888</v>
      </c>
      <c r="F321" s="399" t="s">
        <v>1237</v>
      </c>
      <c r="G321" s="399" t="s">
        <v>1237</v>
      </c>
      <c r="H321" s="399" t="s">
        <v>1237</v>
      </c>
      <c r="I321" s="399" t="s">
        <v>891</v>
      </c>
      <c r="J321" s="399" t="s">
        <v>2337</v>
      </c>
      <c r="K321" s="788">
        <v>44743</v>
      </c>
      <c r="L321" s="399">
        <v>0</v>
      </c>
      <c r="M321" s="399">
        <v>0</v>
      </c>
      <c r="N321" s="399">
        <v>99.21</v>
      </c>
      <c r="O321" s="399">
        <v>99.21</v>
      </c>
      <c r="P321" s="399">
        <v>99.21</v>
      </c>
      <c r="Q321" s="399">
        <v>99.21</v>
      </c>
      <c r="R321" s="399"/>
      <c r="S321" s="399">
        <v>3312.96</v>
      </c>
      <c r="T321" s="399">
        <v>119.97</v>
      </c>
      <c r="U321" s="399"/>
      <c r="V321" s="399">
        <v>340580.98529999994</v>
      </c>
      <c r="W321" s="399">
        <v>340580.98529999994</v>
      </c>
      <c r="X321" s="399">
        <v>295626.95009999996</v>
      </c>
      <c r="Y321" s="399">
        <v>0</v>
      </c>
      <c r="Z321" s="399">
        <v>5256.0014725625761</v>
      </c>
      <c r="AA321" s="399">
        <v>0</v>
      </c>
      <c r="AB321" s="399">
        <v>0</v>
      </c>
      <c r="AC321" s="399">
        <v>0</v>
      </c>
      <c r="AD321" s="399">
        <v>74173.265635505566</v>
      </c>
      <c r="AE321" s="399">
        <v>247349.46034520431</v>
      </c>
      <c r="AF321" s="399">
        <v>11902.604921719811</v>
      </c>
      <c r="AG321" s="399">
        <v>0</v>
      </c>
      <c r="AH321" s="399">
        <v>0</v>
      </c>
      <c r="AI321" s="399">
        <v>0</v>
      </c>
      <c r="AJ321" s="399">
        <v>0</v>
      </c>
      <c r="AK321" s="399">
        <v>0</v>
      </c>
      <c r="AL321" s="399">
        <v>933.58851241765433</v>
      </c>
      <c r="AM321" s="399"/>
      <c r="AN321" s="399">
        <v>83.409020981175388</v>
      </c>
      <c r="AO321" s="399">
        <v>0</v>
      </c>
      <c r="AP321" s="399">
        <v>0</v>
      </c>
      <c r="AQ321" s="399">
        <v>0</v>
      </c>
      <c r="AR321" s="399">
        <v>0</v>
      </c>
      <c r="AS321" s="399">
        <v>0</v>
      </c>
      <c r="AT321" s="399">
        <v>0</v>
      </c>
      <c r="AU321" s="399">
        <v>0</v>
      </c>
      <c r="AV321" s="399">
        <v>0</v>
      </c>
      <c r="AW321" s="399">
        <v>0</v>
      </c>
      <c r="AX321" s="399">
        <v>0</v>
      </c>
      <c r="AY321" s="399">
        <v>0</v>
      </c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>
        <v>0</v>
      </c>
      <c r="BG321" s="399">
        <v>883.35070104128874</v>
      </c>
      <c r="BH321" s="399">
        <v>0</v>
      </c>
      <c r="BI321" s="399">
        <v>0</v>
      </c>
      <c r="BJ321" s="399">
        <v>0</v>
      </c>
      <c r="BK321" s="399">
        <v>0</v>
      </c>
      <c r="BL321" s="399">
        <v>0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>
        <v>12785.955622761099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295626.95009999996</v>
      </c>
      <c r="CJ321" s="399">
        <v>-44954.065200000012</v>
      </c>
      <c r="CK321" s="399"/>
      <c r="CL321" s="399"/>
      <c r="CM321" s="399"/>
      <c r="CN321" s="399"/>
      <c r="CO321" s="399">
        <v>-44954.035199999984</v>
      </c>
      <c r="CP321" s="399">
        <v>0</v>
      </c>
      <c r="CQ321" s="399">
        <v>31</v>
      </c>
      <c r="CR321" s="399">
        <v>-1001.4447706143837</v>
      </c>
      <c r="CS321" s="399">
        <v>0</v>
      </c>
      <c r="CT321" s="399">
        <v>0</v>
      </c>
      <c r="CU321" s="399">
        <v>0</v>
      </c>
      <c r="CV321" s="399">
        <v>0</v>
      </c>
      <c r="CW321" s="399">
        <v>0</v>
      </c>
      <c r="CX321" s="399">
        <v>0</v>
      </c>
      <c r="CY321" s="399">
        <v>0</v>
      </c>
      <c r="CZ321" s="399">
        <v>-396.84031362661335</v>
      </c>
      <c r="DA321" s="399">
        <v>0</v>
      </c>
      <c r="DB321" s="399">
        <v>0</v>
      </c>
      <c r="DC321" s="399">
        <v>0</v>
      </c>
      <c r="DD321" s="399">
        <v>0</v>
      </c>
      <c r="DE321" s="399">
        <v>0</v>
      </c>
      <c r="DF321" s="399">
        <v>0</v>
      </c>
      <c r="DG321" s="399">
        <v>0</v>
      </c>
      <c r="DH321" s="399">
        <v>0</v>
      </c>
      <c r="DI321" s="399">
        <v>-518.14853090853103</v>
      </c>
      <c r="DJ321" s="399"/>
      <c r="DK321" s="399">
        <v>0</v>
      </c>
      <c r="DL321" s="399">
        <v>0</v>
      </c>
      <c r="DM321" s="399">
        <v>0</v>
      </c>
      <c r="DN321" s="399">
        <v>0</v>
      </c>
      <c r="DO321" s="399">
        <v>-79.558830126528392</v>
      </c>
      <c r="DP321" s="399">
        <v>-6.8970959527138973</v>
      </c>
      <c r="DQ321" s="399">
        <v>0</v>
      </c>
      <c r="DR321" s="399">
        <v>0</v>
      </c>
      <c r="DS321" s="399"/>
      <c r="DT321" s="399"/>
      <c r="DU321" s="399"/>
      <c r="DV321" s="399">
        <v>247349.46034520431</v>
      </c>
      <c r="DW321" s="399">
        <v>0</v>
      </c>
      <c r="DX321" s="399">
        <v>0</v>
      </c>
      <c r="DY321" s="399">
        <v>-44954.035199999984</v>
      </c>
      <c r="DZ321" s="399">
        <v>0</v>
      </c>
      <c r="EA321" s="399">
        <v>0</v>
      </c>
      <c r="EB321" s="399">
        <v>0</v>
      </c>
      <c r="EC321" s="399">
        <v>-43952.507054128422</v>
      </c>
      <c r="ED321" s="399">
        <v>0</v>
      </c>
      <c r="EE321" s="399">
        <v>0</v>
      </c>
      <c r="EF321" s="399">
        <v>0</v>
      </c>
      <c r="EG321" s="399">
        <v>0</v>
      </c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>
        <v>0</v>
      </c>
      <c r="EN321" s="399">
        <v>0</v>
      </c>
      <c r="EO321" s="399">
        <v>0</v>
      </c>
      <c r="EP321" s="399">
        <v>0</v>
      </c>
      <c r="EQ321" s="399">
        <v>0</v>
      </c>
      <c r="ER321" s="399">
        <v>0</v>
      </c>
      <c r="ES321" s="399">
        <v>0</v>
      </c>
      <c r="ET321" s="399">
        <v>0</v>
      </c>
      <c r="EU321" s="399">
        <v>0</v>
      </c>
      <c r="EV321" s="399">
        <v>229</v>
      </c>
      <c r="EW321" s="399">
        <v>0</v>
      </c>
      <c r="EX321" s="399">
        <v>0</v>
      </c>
      <c r="EY321" s="399">
        <v>0</v>
      </c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320</v>
      </c>
      <c r="B322" s="399" t="s">
        <v>2339</v>
      </c>
      <c r="C322" s="399" t="s">
        <v>2344</v>
      </c>
      <c r="D322" s="399" t="s">
        <v>533</v>
      </c>
      <c r="E322" s="399" t="s">
        <v>888</v>
      </c>
      <c r="F322" s="399" t="s">
        <v>1237</v>
      </c>
      <c r="G322" s="399" t="s">
        <v>1237</v>
      </c>
      <c r="H322" s="399" t="s">
        <v>1237</v>
      </c>
      <c r="I322" s="399" t="s">
        <v>891</v>
      </c>
      <c r="J322" s="399" t="s">
        <v>2337</v>
      </c>
      <c r="K322" s="788">
        <v>44743</v>
      </c>
      <c r="L322" s="399">
        <v>0</v>
      </c>
      <c r="M322" s="399">
        <v>0</v>
      </c>
      <c r="N322" s="399">
        <v>2.9039999999999999</v>
      </c>
      <c r="O322" s="399">
        <v>2.9039999999999999</v>
      </c>
      <c r="P322" s="399">
        <v>2.9039999999999999</v>
      </c>
      <c r="Q322" s="399">
        <v>2.9039999999999999</v>
      </c>
      <c r="R322" s="399"/>
      <c r="S322" s="399">
        <v>3312.96</v>
      </c>
      <c r="T322" s="399">
        <v>119.97</v>
      </c>
      <c r="U322" s="399"/>
      <c r="V322" s="399">
        <v>9969.2287199999992</v>
      </c>
      <c r="W322" s="399">
        <v>9969.2287199999992</v>
      </c>
      <c r="X322" s="399">
        <v>8653.3682399999998</v>
      </c>
      <c r="Y322" s="399">
        <v>0</v>
      </c>
      <c r="Z322" s="399">
        <v>153.84969535653383</v>
      </c>
      <c r="AA322" s="399">
        <v>0</v>
      </c>
      <c r="AB322" s="399">
        <v>0</v>
      </c>
      <c r="AC322" s="399">
        <v>0</v>
      </c>
      <c r="AD322" s="399">
        <v>2171.1436690405017</v>
      </c>
      <c r="AE322" s="399">
        <v>7240.2261147311092</v>
      </c>
      <c r="AF322" s="399">
        <v>348.4040388335282</v>
      </c>
      <c r="AG322" s="399">
        <v>0</v>
      </c>
      <c r="AH322" s="399">
        <v>0</v>
      </c>
      <c r="AI322" s="399">
        <v>0</v>
      </c>
      <c r="AJ322" s="399">
        <v>0</v>
      </c>
      <c r="AK322" s="399">
        <v>0</v>
      </c>
      <c r="AL322" s="399">
        <v>27.327296039319307</v>
      </c>
      <c r="AM322" s="399"/>
      <c r="AN322" s="399">
        <v>2.4414857063736854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25.856772863863547</v>
      </c>
      <c r="BH322" s="399">
        <v>0</v>
      </c>
      <c r="BI322" s="399">
        <v>0</v>
      </c>
      <c r="BJ322" s="399">
        <v>0</v>
      </c>
      <c r="BK322" s="399">
        <v>0</v>
      </c>
      <c r="BL322" s="399">
        <v>0</v>
      </c>
      <c r="BM322" s="399"/>
      <c r="BN322" s="399"/>
      <c r="BO322" s="399"/>
      <c r="BP322" s="399"/>
      <c r="BQ322" s="399"/>
      <c r="BR322" s="399"/>
      <c r="BS322" s="399"/>
      <c r="BT322" s="399"/>
      <c r="BU322" s="399"/>
      <c r="BV322" s="399">
        <v>374.26081169739177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8641.4490000000005</v>
      </c>
      <c r="CJ322" s="399">
        <v>-1327.8097199999993</v>
      </c>
      <c r="CK322" s="399"/>
      <c r="CL322" s="399"/>
      <c r="CM322" s="399"/>
      <c r="CN322" s="399"/>
      <c r="CO322" s="399">
        <v>-1315.8604799999996</v>
      </c>
      <c r="CP322" s="399">
        <v>0</v>
      </c>
      <c r="CQ322" s="399">
        <v>31</v>
      </c>
      <c r="CR322" s="399">
        <v>-29.313533049734815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-11.616009180240781</v>
      </c>
      <c r="DA322" s="399">
        <v>0</v>
      </c>
      <c r="DB322" s="399">
        <v>0</v>
      </c>
      <c r="DC322" s="399">
        <v>0</v>
      </c>
      <c r="DD322" s="399">
        <v>0</v>
      </c>
      <c r="DE322" s="399">
        <v>0</v>
      </c>
      <c r="DF322" s="399">
        <v>0</v>
      </c>
      <c r="DG322" s="399">
        <v>0</v>
      </c>
      <c r="DH322" s="399">
        <v>0</v>
      </c>
      <c r="DI322" s="399">
        <v>-15.16685146415054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-2.3287858349706561</v>
      </c>
      <c r="DP322" s="399">
        <v>-0.20188657037275659</v>
      </c>
      <c r="DQ322" s="399">
        <v>0</v>
      </c>
      <c r="DR322" s="399">
        <v>0</v>
      </c>
      <c r="DS322" s="399"/>
      <c r="DT322" s="399"/>
      <c r="DU322" s="399"/>
      <c r="DV322" s="399">
        <v>7240.2261147311092</v>
      </c>
      <c r="DW322" s="399">
        <v>0</v>
      </c>
      <c r="DX322" s="399">
        <v>0</v>
      </c>
      <c r="DY322" s="399">
        <v>-1315.8604799999994</v>
      </c>
      <c r="DZ322" s="399">
        <v>0</v>
      </c>
      <c r="EA322" s="399">
        <v>0</v>
      </c>
      <c r="EB322" s="399">
        <v>0</v>
      </c>
      <c r="EC322" s="399">
        <v>-1286.5445064528676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0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229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321</v>
      </c>
      <c r="B323" s="399" t="s">
        <v>954</v>
      </c>
      <c r="C323" s="399" t="s">
        <v>2344</v>
      </c>
      <c r="D323" s="399" t="s">
        <v>533</v>
      </c>
      <c r="E323" s="399" t="s">
        <v>888</v>
      </c>
      <c r="F323" s="399" t="s">
        <v>1237</v>
      </c>
      <c r="G323" s="399" t="s">
        <v>1237</v>
      </c>
      <c r="H323" s="399" t="s">
        <v>1237</v>
      </c>
      <c r="I323" s="399" t="s">
        <v>2322</v>
      </c>
      <c r="J323" s="399" t="s">
        <v>2337</v>
      </c>
      <c r="K323" s="788">
        <v>44743</v>
      </c>
      <c r="L323" s="399">
        <v>0</v>
      </c>
      <c r="M323" s="399">
        <v>0</v>
      </c>
      <c r="N323" s="399">
        <v>2235.3539999999998</v>
      </c>
      <c r="O323" s="399">
        <v>2235.3539999999998</v>
      </c>
      <c r="P323" s="399">
        <v>2235.3539999999998</v>
      </c>
      <c r="Q323" s="399">
        <v>2235.3539999999998</v>
      </c>
      <c r="R323" s="399"/>
      <c r="S323" s="399">
        <v>72.13</v>
      </c>
      <c r="T323" s="399">
        <v>119.97</v>
      </c>
      <c r="U323" s="399"/>
      <c r="V323" s="399">
        <v>429411.50339999993</v>
      </c>
      <c r="W323" s="399">
        <v>429411.50339999993</v>
      </c>
      <c r="X323" s="399">
        <v>415798.19753999996</v>
      </c>
      <c r="Y323" s="399">
        <v>0</v>
      </c>
      <c r="Z323" s="399">
        <v>118425.80300069191</v>
      </c>
      <c r="AA323" s="399">
        <v>0</v>
      </c>
      <c r="AB323" s="399">
        <v>0</v>
      </c>
      <c r="AC323" s="399">
        <v>0</v>
      </c>
      <c r="AD323" s="399">
        <v>0</v>
      </c>
      <c r="AE323" s="399">
        <v>0</v>
      </c>
      <c r="AF323" s="399">
        <v>268184.00889210834</v>
      </c>
      <c r="AG323" s="399">
        <v>0</v>
      </c>
      <c r="AH323" s="399">
        <v>0</v>
      </c>
      <c r="AI323" s="399">
        <v>0</v>
      </c>
      <c r="AJ323" s="399">
        <v>0</v>
      </c>
      <c r="AK323" s="399">
        <v>0</v>
      </c>
      <c r="AL323" s="399">
        <v>21035.186126266035</v>
      </c>
      <c r="AM323" s="399"/>
      <c r="AN323" s="399">
        <v>1879.3336224811442</v>
      </c>
      <c r="AO323" s="399">
        <v>0</v>
      </c>
      <c r="AP323" s="399">
        <v>0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>
        <v>0</v>
      </c>
      <c r="BG323" s="399">
        <v>19903.250911958967</v>
      </c>
      <c r="BH323" s="399">
        <v>0</v>
      </c>
      <c r="BI323" s="399">
        <v>0</v>
      </c>
      <c r="BJ323" s="399">
        <v>0</v>
      </c>
      <c r="BK323" s="399">
        <v>0</v>
      </c>
      <c r="BL323" s="399">
        <v>0</v>
      </c>
      <c r="BM323" s="399"/>
      <c r="BN323" s="399"/>
      <c r="BO323" s="399"/>
      <c r="BP323" s="399"/>
      <c r="BQ323" s="399"/>
      <c r="BR323" s="399"/>
      <c r="BS323" s="399"/>
      <c r="BT323" s="399"/>
      <c r="BU323" s="399"/>
      <c r="BV323" s="399">
        <v>288087.25980406732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415797.45349999995</v>
      </c>
      <c r="CJ323" s="399">
        <v>-13614.079900000012</v>
      </c>
      <c r="CK323" s="399"/>
      <c r="CL323" s="399"/>
      <c r="CM323" s="399"/>
      <c r="CN323" s="399"/>
      <c r="CO323" s="399">
        <v>-13613.305859999975</v>
      </c>
      <c r="CP323" s="399">
        <v>0</v>
      </c>
      <c r="CQ323" s="399">
        <v>31</v>
      </c>
      <c r="CR323" s="399">
        <v>-13622.66899854294</v>
      </c>
      <c r="CS323" s="399">
        <v>0</v>
      </c>
      <c r="CT323" s="399">
        <v>0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0</v>
      </c>
      <c r="DA323" s="399">
        <v>0</v>
      </c>
      <c r="DB323" s="399">
        <v>0</v>
      </c>
      <c r="DC323" s="399">
        <v>0</v>
      </c>
      <c r="DD323" s="399">
        <v>0</v>
      </c>
      <c r="DE323" s="399">
        <v>0</v>
      </c>
      <c r="DF323" s="399">
        <v>0</v>
      </c>
      <c r="DG323" s="399">
        <v>0</v>
      </c>
      <c r="DH323" s="399">
        <v>0</v>
      </c>
      <c r="DI323" s="399">
        <v>-11674.683914529873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-1792.5828964686625</v>
      </c>
      <c r="DP323" s="399">
        <v>-155.40218754442913</v>
      </c>
      <c r="DQ323" s="399">
        <v>0</v>
      </c>
      <c r="DR323" s="399">
        <v>0</v>
      </c>
      <c r="DS323" s="399"/>
      <c r="DT323" s="399"/>
      <c r="DU323" s="399"/>
      <c r="DV323" s="399">
        <v>0</v>
      </c>
      <c r="DW323" s="399">
        <v>0</v>
      </c>
      <c r="DX323" s="399">
        <v>0</v>
      </c>
      <c r="DY323" s="399">
        <v>-13613.305859999964</v>
      </c>
      <c r="DZ323" s="399">
        <v>0</v>
      </c>
      <c r="EA323" s="399">
        <v>0</v>
      </c>
      <c r="EB323" s="399">
        <v>0</v>
      </c>
      <c r="EC323" s="399">
        <v>0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0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229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322</v>
      </c>
      <c r="B324" s="399" t="s">
        <v>2339</v>
      </c>
      <c r="C324" s="399" t="s">
        <v>2344</v>
      </c>
      <c r="D324" s="399" t="s">
        <v>533</v>
      </c>
      <c r="E324" s="399" t="s">
        <v>888</v>
      </c>
      <c r="F324" s="399" t="s">
        <v>1237</v>
      </c>
      <c r="G324" s="399" t="s">
        <v>1237</v>
      </c>
      <c r="H324" s="399" t="s">
        <v>1237</v>
      </c>
      <c r="I324" s="399" t="s">
        <v>2322</v>
      </c>
      <c r="J324" s="399" t="s">
        <v>2337</v>
      </c>
      <c r="K324" s="788">
        <v>44743</v>
      </c>
      <c r="L324" s="399">
        <v>0</v>
      </c>
      <c r="M324" s="399">
        <v>0</v>
      </c>
      <c r="N324" s="399">
        <v>15.888999999999999</v>
      </c>
      <c r="O324" s="399">
        <v>15.888999999999999</v>
      </c>
      <c r="P324" s="399">
        <v>15.888999999999999</v>
      </c>
      <c r="Q324" s="399">
        <v>15.888999999999999</v>
      </c>
      <c r="R324" s="399"/>
      <c r="S324" s="399">
        <v>72.13</v>
      </c>
      <c r="T324" s="399">
        <v>119.97</v>
      </c>
      <c r="U324" s="399"/>
      <c r="V324" s="399">
        <v>3052.2768999999998</v>
      </c>
      <c r="W324" s="399">
        <v>3052.2768999999998</v>
      </c>
      <c r="X324" s="399">
        <v>2955.51289</v>
      </c>
      <c r="Y324" s="399">
        <v>0</v>
      </c>
      <c r="Z324" s="399">
        <v>841.77610520659994</v>
      </c>
      <c r="AA324" s="399">
        <v>0</v>
      </c>
      <c r="AB324" s="399">
        <v>0</v>
      </c>
      <c r="AC324" s="399">
        <v>0</v>
      </c>
      <c r="AD324" s="399">
        <v>0</v>
      </c>
      <c r="AE324" s="399">
        <v>0</v>
      </c>
      <c r="AF324" s="399">
        <v>1906.2643846508022</v>
      </c>
      <c r="AG324" s="399">
        <v>0</v>
      </c>
      <c r="AH324" s="399">
        <v>0</v>
      </c>
      <c r="AI324" s="399">
        <v>0</v>
      </c>
      <c r="AJ324" s="399">
        <v>0</v>
      </c>
      <c r="AK324" s="399">
        <v>0</v>
      </c>
      <c r="AL324" s="399">
        <v>149.51907946582108</v>
      </c>
      <c r="AM324" s="399"/>
      <c r="AN324" s="399">
        <v>13.358390629673377</v>
      </c>
      <c r="AO324" s="399">
        <v>0</v>
      </c>
      <c r="AP324" s="399">
        <v>0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>
        <v>0</v>
      </c>
      <c r="BG324" s="399">
        <v>141.47323141664185</v>
      </c>
      <c r="BH324" s="399">
        <v>0</v>
      </c>
      <c r="BI324" s="399">
        <v>0</v>
      </c>
      <c r="BJ324" s="399">
        <v>0</v>
      </c>
      <c r="BK324" s="399">
        <v>0</v>
      </c>
      <c r="BL324" s="399">
        <v>0</v>
      </c>
      <c r="BM324" s="399"/>
      <c r="BN324" s="399"/>
      <c r="BO324" s="399"/>
      <c r="BP324" s="399"/>
      <c r="BQ324" s="399"/>
      <c r="BR324" s="399"/>
      <c r="BS324" s="399"/>
      <c r="BT324" s="399"/>
      <c r="BU324" s="399"/>
      <c r="BV324" s="399">
        <v>2047.7376160674439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2955.6989000000003</v>
      </c>
      <c r="CJ324" s="399">
        <v>-96.607999999999265</v>
      </c>
      <c r="CK324" s="399"/>
      <c r="CL324" s="399"/>
      <c r="CM324" s="399"/>
      <c r="CN324" s="399"/>
      <c r="CO324" s="399">
        <v>-96.764009999999828</v>
      </c>
      <c r="CP324" s="399">
        <v>0</v>
      </c>
      <c r="CQ324" s="399">
        <v>31</v>
      </c>
      <c r="CR324" s="399">
        <v>-96.830563623412218</v>
      </c>
      <c r="CS324" s="399">
        <v>0</v>
      </c>
      <c r="CT324" s="399">
        <v>0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0</v>
      </c>
      <c r="DA324" s="399">
        <v>0</v>
      </c>
      <c r="DB324" s="399">
        <v>0</v>
      </c>
      <c r="DC324" s="399">
        <v>0</v>
      </c>
      <c r="DD324" s="399">
        <v>0</v>
      </c>
      <c r="DE324" s="399">
        <v>0</v>
      </c>
      <c r="DF324" s="399">
        <v>0</v>
      </c>
      <c r="DG324" s="399">
        <v>0</v>
      </c>
      <c r="DH324" s="399">
        <v>0</v>
      </c>
      <c r="DI324" s="399">
        <v>-82.984195218281002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-12.741762442096643</v>
      </c>
      <c r="DP324" s="399">
        <v>-1.1046059630346843</v>
      </c>
      <c r="DQ324" s="399">
        <v>0</v>
      </c>
      <c r="DR324" s="399">
        <v>0</v>
      </c>
      <c r="DS324" s="399"/>
      <c r="DT324" s="399"/>
      <c r="DU324" s="399"/>
      <c r="DV324" s="399">
        <v>0</v>
      </c>
      <c r="DW324" s="399">
        <v>0</v>
      </c>
      <c r="DX324" s="399">
        <v>0</v>
      </c>
      <c r="DY324" s="399">
        <v>-96.764009999999644</v>
      </c>
      <c r="DZ324" s="399">
        <v>0</v>
      </c>
      <c r="EA324" s="399">
        <v>0</v>
      </c>
      <c r="EB324" s="399">
        <v>0</v>
      </c>
      <c r="EC324" s="399">
        <v>0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0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229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323</v>
      </c>
      <c r="B325" s="399" t="s">
        <v>954</v>
      </c>
      <c r="C325" s="399" t="s">
        <v>2344</v>
      </c>
      <c r="D325" s="399" t="s">
        <v>533</v>
      </c>
      <c r="E325" s="399" t="s">
        <v>888</v>
      </c>
      <c r="F325" s="399" t="s">
        <v>1237</v>
      </c>
      <c r="G325" s="399" t="s">
        <v>1237</v>
      </c>
      <c r="H325" s="399" t="s">
        <v>1237</v>
      </c>
      <c r="I325" s="399" t="s">
        <v>1237</v>
      </c>
      <c r="J325" s="399" t="s">
        <v>2337</v>
      </c>
      <c r="K325" s="788">
        <v>44743</v>
      </c>
      <c r="L325" s="399">
        <v>10435</v>
      </c>
      <c r="M325" s="399">
        <v>10435</v>
      </c>
      <c r="N325" s="399">
        <v>0</v>
      </c>
      <c r="O325" s="399">
        <v>0</v>
      </c>
      <c r="P325" s="399">
        <v>0</v>
      </c>
      <c r="Q325" s="399">
        <v>0</v>
      </c>
      <c r="R325" s="399">
        <v>46.29</v>
      </c>
      <c r="S325" s="399"/>
      <c r="T325" s="399"/>
      <c r="U325" s="399">
        <v>483036.14999999997</v>
      </c>
      <c r="V325" s="399"/>
      <c r="W325" s="399">
        <v>483036.14999999997</v>
      </c>
      <c r="X325" s="399">
        <v>429400.25</v>
      </c>
      <c r="Y325" s="399">
        <v>0</v>
      </c>
      <c r="Z325" s="399">
        <v>0</v>
      </c>
      <c r="AA325" s="399">
        <v>0</v>
      </c>
      <c r="AB325" s="399">
        <v>0</v>
      </c>
      <c r="AC325" s="399">
        <v>0</v>
      </c>
      <c r="AD325" s="399">
        <v>186922.28411763842</v>
      </c>
      <c r="AE325" s="399">
        <v>296076.72440838447</v>
      </c>
      <c r="AF325" s="399"/>
      <c r="AG325" s="399"/>
      <c r="AH325" s="399"/>
      <c r="AI325" s="399">
        <v>0</v>
      </c>
      <c r="AJ325" s="399">
        <v>0</v>
      </c>
      <c r="AK325" s="399">
        <v>0</v>
      </c>
      <c r="AL325" s="399">
        <v>0</v>
      </c>
      <c r="AM325" s="399"/>
      <c r="AN325" s="399">
        <v>0</v>
      </c>
      <c r="AO325" s="399">
        <v>0</v>
      </c>
      <c r="AP325" s="399">
        <v>0</v>
      </c>
      <c r="AQ325" s="399">
        <v>0</v>
      </c>
      <c r="AR325" s="399">
        <v>0</v>
      </c>
      <c r="AS325" s="399"/>
      <c r="AT325" s="399"/>
      <c r="AU325" s="399">
        <v>0</v>
      </c>
      <c r="AV325" s="399">
        <v>0</v>
      </c>
      <c r="AW325" s="399">
        <v>0</v>
      </c>
      <c r="AX325" s="399"/>
      <c r="AY325" s="399"/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/>
      <c r="BG325" s="399">
        <v>0</v>
      </c>
      <c r="BH325" s="399">
        <v>0</v>
      </c>
      <c r="BI325" s="399">
        <v>0</v>
      </c>
      <c r="BJ325" s="399">
        <v>0</v>
      </c>
      <c r="BK325" s="399">
        <v>223372.07</v>
      </c>
      <c r="BL325" s="399">
        <v>26</v>
      </c>
      <c r="BM325" s="399"/>
      <c r="BN325" s="399"/>
      <c r="BO325" s="399"/>
      <c r="BP325" s="399"/>
      <c r="BQ325" s="399"/>
      <c r="BR325" s="399"/>
      <c r="BS325" s="399"/>
      <c r="BT325" s="399"/>
      <c r="BU325" s="399"/>
      <c r="BV325" s="399">
        <v>0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429400.25</v>
      </c>
      <c r="CJ325" s="399">
        <v>-53635.929999999993</v>
      </c>
      <c r="CK325" s="399"/>
      <c r="CL325" s="399"/>
      <c r="CM325" s="399"/>
      <c r="CN325" s="399"/>
      <c r="CO325" s="399">
        <v>-53635.900000000009</v>
      </c>
      <c r="CP325" s="399">
        <v>0</v>
      </c>
      <c r="CQ325" s="399">
        <v>31</v>
      </c>
      <c r="CR325" s="399">
        <v>-1000.0678440880147</v>
      </c>
      <c r="CS325" s="399">
        <v>0</v>
      </c>
      <c r="CT325" s="399">
        <v>0</v>
      </c>
      <c r="CU325" s="399">
        <v>0</v>
      </c>
      <c r="CV325" s="399">
        <v>0</v>
      </c>
      <c r="CW325" s="399"/>
      <c r="CX325" s="399"/>
      <c r="CY325" s="399"/>
      <c r="CZ325" s="399">
        <v>-1000.0678440880147</v>
      </c>
      <c r="DA325" s="399">
        <v>0</v>
      </c>
      <c r="DB325" s="399">
        <v>0</v>
      </c>
      <c r="DC325" s="399"/>
      <c r="DD325" s="399"/>
      <c r="DE325" s="399">
        <v>0</v>
      </c>
      <c r="DF325" s="399">
        <v>0</v>
      </c>
      <c r="DG325" s="399">
        <v>0</v>
      </c>
      <c r="DH325" s="399">
        <v>0</v>
      </c>
      <c r="DI325" s="399">
        <v>0</v>
      </c>
      <c r="DJ325" s="399"/>
      <c r="DK325" s="399">
        <v>0</v>
      </c>
      <c r="DL325" s="399">
        <v>0</v>
      </c>
      <c r="DM325" s="399"/>
      <c r="DN325" s="399">
        <v>0</v>
      </c>
      <c r="DO325" s="399">
        <v>0</v>
      </c>
      <c r="DP325" s="399">
        <v>0</v>
      </c>
      <c r="DQ325" s="399">
        <v>0</v>
      </c>
      <c r="DR325" s="399">
        <v>0</v>
      </c>
      <c r="DS325" s="399"/>
      <c r="DT325" s="399"/>
      <c r="DU325" s="399">
        <v>296076.72440838447</v>
      </c>
      <c r="DV325" s="399"/>
      <c r="DW325" s="399">
        <v>0</v>
      </c>
      <c r="DX325" s="399">
        <v>0</v>
      </c>
      <c r="DY325" s="399">
        <v>-53635.899999999965</v>
      </c>
      <c r="DZ325" s="399"/>
      <c r="EA325" s="399">
        <v>0</v>
      </c>
      <c r="EB325" s="399"/>
      <c r="EC325" s="399">
        <v>-52611.047947957268</v>
      </c>
      <c r="ED325" s="399"/>
      <c r="EE325" s="399">
        <v>0</v>
      </c>
      <c r="EF325" s="399">
        <v>0</v>
      </c>
      <c r="EG325" s="399"/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/>
      <c r="EN325" s="399"/>
      <c r="EO325" s="399">
        <v>0</v>
      </c>
      <c r="EP325" s="399">
        <v>0</v>
      </c>
      <c r="EQ325" s="399"/>
      <c r="ER325" s="399">
        <v>0</v>
      </c>
      <c r="ES325" s="399"/>
      <c r="ET325" s="399">
        <v>0</v>
      </c>
      <c r="EU325" s="399"/>
      <c r="EV325" s="399">
        <v>229</v>
      </c>
      <c r="EW325" s="399"/>
      <c r="EX325" s="399"/>
      <c r="EY325" s="399"/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324</v>
      </c>
      <c r="B326" s="399" t="s">
        <v>2339</v>
      </c>
      <c r="C326" s="399" t="s">
        <v>2344</v>
      </c>
      <c r="D326" s="399" t="s">
        <v>533</v>
      </c>
      <c r="E326" s="399" t="s">
        <v>888</v>
      </c>
      <c r="F326" s="399" t="s">
        <v>1237</v>
      </c>
      <c r="G326" s="399" t="s">
        <v>1237</v>
      </c>
      <c r="H326" s="399" t="s">
        <v>1237</v>
      </c>
      <c r="I326" s="399" t="s">
        <v>1237</v>
      </c>
      <c r="J326" s="399" t="s">
        <v>2337</v>
      </c>
      <c r="K326" s="788">
        <v>44743</v>
      </c>
      <c r="L326" s="399">
        <v>74</v>
      </c>
      <c r="M326" s="399">
        <v>74</v>
      </c>
      <c r="N326" s="399">
        <v>0</v>
      </c>
      <c r="O326" s="399">
        <v>0</v>
      </c>
      <c r="P326" s="399">
        <v>0</v>
      </c>
      <c r="Q326" s="399">
        <v>0</v>
      </c>
      <c r="R326" s="399">
        <v>46.29</v>
      </c>
      <c r="S326" s="399"/>
      <c r="T326" s="399"/>
      <c r="U326" s="399">
        <v>3425.46</v>
      </c>
      <c r="V326" s="399"/>
      <c r="W326" s="399">
        <v>3425.46</v>
      </c>
      <c r="X326" s="399">
        <v>3045.1</v>
      </c>
      <c r="Y326" s="399">
        <v>0</v>
      </c>
      <c r="Z326" s="399">
        <v>0</v>
      </c>
      <c r="AA326" s="399">
        <v>0</v>
      </c>
      <c r="AB326" s="399">
        <v>0</v>
      </c>
      <c r="AC326" s="399">
        <v>0</v>
      </c>
      <c r="AD326" s="399">
        <v>1325.5629156401767</v>
      </c>
      <c r="AE326" s="399">
        <v>2099.6336948941498</v>
      </c>
      <c r="AF326" s="399"/>
      <c r="AG326" s="399"/>
      <c r="AH326" s="399"/>
      <c r="AI326" s="399">
        <v>0</v>
      </c>
      <c r="AJ326" s="399">
        <v>0</v>
      </c>
      <c r="AK326" s="399">
        <v>0</v>
      </c>
      <c r="AL326" s="399">
        <v>0</v>
      </c>
      <c r="AM326" s="399"/>
      <c r="AN326" s="399">
        <v>0</v>
      </c>
      <c r="AO326" s="399">
        <v>0</v>
      </c>
      <c r="AP326" s="399">
        <v>0</v>
      </c>
      <c r="AQ326" s="399">
        <v>0</v>
      </c>
      <c r="AR326" s="399">
        <v>0</v>
      </c>
      <c r="AS326" s="399"/>
      <c r="AT326" s="399"/>
      <c r="AU326" s="399">
        <v>0</v>
      </c>
      <c r="AV326" s="399">
        <v>0</v>
      </c>
      <c r="AW326" s="399">
        <v>0</v>
      </c>
      <c r="AX326" s="399"/>
      <c r="AY326" s="399"/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/>
      <c r="BG326" s="399">
        <v>0</v>
      </c>
      <c r="BH326" s="399">
        <v>0</v>
      </c>
      <c r="BI326" s="399">
        <v>0</v>
      </c>
      <c r="BJ326" s="399">
        <v>0</v>
      </c>
      <c r="BK326" s="399">
        <v>3372.02</v>
      </c>
      <c r="BL326" s="399">
        <v>1</v>
      </c>
      <c r="BM326" s="399"/>
      <c r="BN326" s="399"/>
      <c r="BO326" s="399"/>
      <c r="BP326" s="399"/>
      <c r="BQ326" s="399"/>
      <c r="BR326" s="399"/>
      <c r="BS326" s="399"/>
      <c r="BT326" s="399"/>
      <c r="BU326" s="399"/>
      <c r="BV326" s="399">
        <v>0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3045.1</v>
      </c>
      <c r="CJ326" s="399">
        <v>-380.39000000000078</v>
      </c>
      <c r="CK326" s="399"/>
      <c r="CL326" s="399"/>
      <c r="CM326" s="399"/>
      <c r="CN326" s="399"/>
      <c r="CO326" s="399">
        <v>-380.36</v>
      </c>
      <c r="CP326" s="399">
        <v>0</v>
      </c>
      <c r="CQ326" s="399">
        <v>31</v>
      </c>
      <c r="CR326" s="399">
        <v>-7.0920000443231856</v>
      </c>
      <c r="CS326" s="399">
        <v>0</v>
      </c>
      <c r="CT326" s="399">
        <v>0</v>
      </c>
      <c r="CU326" s="399">
        <v>0</v>
      </c>
      <c r="CV326" s="399">
        <v>0</v>
      </c>
      <c r="CW326" s="399"/>
      <c r="CX326" s="399"/>
      <c r="CY326" s="399"/>
      <c r="CZ326" s="399">
        <v>-7.0920000443231856</v>
      </c>
      <c r="DA326" s="399">
        <v>0</v>
      </c>
      <c r="DB326" s="399">
        <v>0</v>
      </c>
      <c r="DC326" s="399"/>
      <c r="DD326" s="399"/>
      <c r="DE326" s="399">
        <v>0</v>
      </c>
      <c r="DF326" s="399">
        <v>0</v>
      </c>
      <c r="DG326" s="399">
        <v>0</v>
      </c>
      <c r="DH326" s="399">
        <v>0</v>
      </c>
      <c r="DI326" s="399">
        <v>0</v>
      </c>
      <c r="DJ326" s="399"/>
      <c r="DK326" s="399">
        <v>0</v>
      </c>
      <c r="DL326" s="399">
        <v>0</v>
      </c>
      <c r="DM326" s="399"/>
      <c r="DN326" s="399">
        <v>0</v>
      </c>
      <c r="DO326" s="399">
        <v>0</v>
      </c>
      <c r="DP326" s="399">
        <v>0</v>
      </c>
      <c r="DQ326" s="399">
        <v>0</v>
      </c>
      <c r="DR326" s="399">
        <v>0</v>
      </c>
      <c r="DS326" s="399"/>
      <c r="DT326" s="399"/>
      <c r="DU326" s="399">
        <v>2099.6336948941498</v>
      </c>
      <c r="DV326" s="399"/>
      <c r="DW326" s="399">
        <v>0</v>
      </c>
      <c r="DX326" s="399">
        <v>0</v>
      </c>
      <c r="DY326" s="399">
        <v>-380.36000000000013</v>
      </c>
      <c r="DZ326" s="399"/>
      <c r="EA326" s="399">
        <v>0</v>
      </c>
      <c r="EB326" s="399"/>
      <c r="EC326" s="399">
        <v>-373.09224227588311</v>
      </c>
      <c r="ED326" s="399"/>
      <c r="EE326" s="399">
        <v>0</v>
      </c>
      <c r="EF326" s="399">
        <v>0</v>
      </c>
      <c r="EG326" s="399"/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/>
      <c r="EN326" s="399"/>
      <c r="EO326" s="399">
        <v>0</v>
      </c>
      <c r="EP326" s="399">
        <v>0</v>
      </c>
      <c r="EQ326" s="399"/>
      <c r="ER326" s="399">
        <v>0</v>
      </c>
      <c r="ES326" s="399"/>
      <c r="ET326" s="399">
        <v>0</v>
      </c>
      <c r="EU326" s="399"/>
      <c r="EV326" s="399">
        <v>229</v>
      </c>
      <c r="EW326" s="399"/>
      <c r="EX326" s="399"/>
      <c r="EY326" s="399"/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325</v>
      </c>
      <c r="B327" s="399" t="s">
        <v>954</v>
      </c>
      <c r="C327" s="399" t="s">
        <v>2345</v>
      </c>
      <c r="D327" s="399" t="s">
        <v>1822</v>
      </c>
      <c r="E327" s="399" t="s">
        <v>888</v>
      </c>
      <c r="F327" s="399" t="s">
        <v>1237</v>
      </c>
      <c r="G327" s="399" t="s">
        <v>1237</v>
      </c>
      <c r="H327" s="399" t="s">
        <v>1237</v>
      </c>
      <c r="I327" s="399" t="s">
        <v>891</v>
      </c>
      <c r="J327" s="399" t="s">
        <v>2337</v>
      </c>
      <c r="K327" s="788">
        <v>44743</v>
      </c>
      <c r="L327" s="399">
        <v>0</v>
      </c>
      <c r="M327" s="399">
        <v>0</v>
      </c>
      <c r="N327" s="399">
        <v>9.2999999999999999E-2</v>
      </c>
      <c r="O327" s="399">
        <v>9.2999999999999999E-2</v>
      </c>
      <c r="P327" s="399">
        <v>9.2999999999999999E-2</v>
      </c>
      <c r="Q327" s="399">
        <v>9.2999999999999999E-2</v>
      </c>
      <c r="R327" s="399"/>
      <c r="S327" s="399">
        <v>2187.66</v>
      </c>
      <c r="T327" s="399">
        <v>119.97</v>
      </c>
      <c r="U327" s="399"/>
      <c r="V327" s="399">
        <v>214.60958999999997</v>
      </c>
      <c r="W327" s="399">
        <v>214.60958999999997</v>
      </c>
      <c r="X327" s="399">
        <v>185.15834999999998</v>
      </c>
      <c r="Y327" s="399">
        <v>0</v>
      </c>
      <c r="Z327" s="399">
        <v>5.6632238007653557</v>
      </c>
      <c r="AA327" s="399">
        <v>0</v>
      </c>
      <c r="AB327" s="399">
        <v>0</v>
      </c>
      <c r="AC327" s="399">
        <v>0</v>
      </c>
      <c r="AD327" s="399">
        <v>34.000487035519193</v>
      </c>
      <c r="AE327" s="399">
        <v>161.0605467495503</v>
      </c>
      <c r="AF327" s="399">
        <v>11.157567359338197</v>
      </c>
      <c r="AG327" s="399">
        <v>0</v>
      </c>
      <c r="AH327" s="399">
        <v>0</v>
      </c>
      <c r="AI327" s="399">
        <v>0</v>
      </c>
      <c r="AJ327" s="399">
        <v>0</v>
      </c>
      <c r="AK327" s="399">
        <v>0</v>
      </c>
      <c r="AL327" s="399">
        <v>0.87515100952365543</v>
      </c>
      <c r="AM327" s="399"/>
      <c r="AN327" s="399">
        <v>0.20007078386223706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1.6528344560981016</v>
      </c>
      <c r="BH327" s="399">
        <v>0</v>
      </c>
      <c r="BI327" s="399">
        <v>0</v>
      </c>
      <c r="BJ327" s="399">
        <v>0</v>
      </c>
      <c r="BK327" s="399">
        <v>0</v>
      </c>
      <c r="BL327" s="399">
        <v>0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12.810401815436299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179.18549999999999</v>
      </c>
      <c r="CJ327" s="399">
        <v>-35.454089999999951</v>
      </c>
      <c r="CK327" s="399"/>
      <c r="CL327" s="399"/>
      <c r="CM327" s="399"/>
      <c r="CN327" s="399"/>
      <c r="CO327" s="399">
        <v>-29.451239999999984</v>
      </c>
      <c r="CP327" s="399">
        <v>0</v>
      </c>
      <c r="CQ327" s="399">
        <v>31</v>
      </c>
      <c r="CR327" s="399">
        <v>-0.83132490012739879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-0.18190872173458672</v>
      </c>
      <c r="DA327" s="399">
        <v>0</v>
      </c>
      <c r="DB327" s="399">
        <v>0</v>
      </c>
      <c r="DC327" s="399">
        <v>0</v>
      </c>
      <c r="DD327" s="399">
        <v>0</v>
      </c>
      <c r="DE327" s="399">
        <v>0</v>
      </c>
      <c r="DF327" s="399">
        <v>0</v>
      </c>
      <c r="DG327" s="399">
        <v>0</v>
      </c>
      <c r="DH327" s="399">
        <v>0</v>
      </c>
      <c r="DI327" s="399">
        <v>-0.55829343045106672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-7.4578885210836998E-2</v>
      </c>
      <c r="DP327" s="399">
        <v>-1.6543862730914738E-2</v>
      </c>
      <c r="DQ327" s="399">
        <v>0</v>
      </c>
      <c r="DR327" s="399">
        <v>0</v>
      </c>
      <c r="DS327" s="399"/>
      <c r="DT327" s="399"/>
      <c r="DU327" s="399"/>
      <c r="DV327" s="399">
        <v>161.0605467495503</v>
      </c>
      <c r="DW327" s="399">
        <v>0</v>
      </c>
      <c r="DX327" s="399">
        <v>0</v>
      </c>
      <c r="DY327" s="399">
        <v>-29.451239999999984</v>
      </c>
      <c r="DZ327" s="399">
        <v>0</v>
      </c>
      <c r="EA327" s="399">
        <v>0</v>
      </c>
      <c r="EB327" s="399">
        <v>0</v>
      </c>
      <c r="EC327" s="399">
        <v>-28.61948761590935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229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326</v>
      </c>
      <c r="B328" s="399" t="s">
        <v>2339</v>
      </c>
      <c r="C328" s="399" t="s">
        <v>2345</v>
      </c>
      <c r="D328" s="399" t="s">
        <v>1822</v>
      </c>
      <c r="E328" s="399" t="s">
        <v>888</v>
      </c>
      <c r="F328" s="399" t="s">
        <v>1237</v>
      </c>
      <c r="G328" s="399" t="s">
        <v>1237</v>
      </c>
      <c r="H328" s="399" t="s">
        <v>1237</v>
      </c>
      <c r="I328" s="399" t="s">
        <v>891</v>
      </c>
      <c r="J328" s="399" t="s">
        <v>2337</v>
      </c>
      <c r="K328" s="788">
        <v>44743</v>
      </c>
      <c r="L328" s="399">
        <v>0</v>
      </c>
      <c r="M328" s="399">
        <v>0</v>
      </c>
      <c r="N328" s="399">
        <v>0.02</v>
      </c>
      <c r="O328" s="399">
        <v>0.02</v>
      </c>
      <c r="P328" s="399">
        <v>0.02</v>
      </c>
      <c r="Q328" s="399">
        <v>0.02</v>
      </c>
      <c r="R328" s="399"/>
      <c r="S328" s="399">
        <v>2187.66</v>
      </c>
      <c r="T328" s="399">
        <v>119.97</v>
      </c>
      <c r="U328" s="399"/>
      <c r="V328" s="399">
        <v>46.1526</v>
      </c>
      <c r="W328" s="399">
        <v>46.1526</v>
      </c>
      <c r="X328" s="399">
        <v>39.819000000000003</v>
      </c>
      <c r="Y328" s="399">
        <v>0</v>
      </c>
      <c r="Z328" s="399">
        <v>1.2178975915624421</v>
      </c>
      <c r="AA328" s="399">
        <v>0</v>
      </c>
      <c r="AB328" s="399">
        <v>0</v>
      </c>
      <c r="AC328" s="399">
        <v>0</v>
      </c>
      <c r="AD328" s="399">
        <v>7.3119326958105795</v>
      </c>
      <c r="AE328" s="399">
        <v>34.636676720333398</v>
      </c>
      <c r="AF328" s="399">
        <v>2.3994768514705802</v>
      </c>
      <c r="AG328" s="399">
        <v>0</v>
      </c>
      <c r="AH328" s="399">
        <v>0</v>
      </c>
      <c r="AI328" s="399">
        <v>0</v>
      </c>
      <c r="AJ328" s="399">
        <v>0</v>
      </c>
      <c r="AK328" s="399">
        <v>0</v>
      </c>
      <c r="AL328" s="399">
        <v>0.18820451817713021</v>
      </c>
      <c r="AM328" s="399"/>
      <c r="AN328" s="399">
        <v>4.3025975024137006E-2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0.35544827012862401</v>
      </c>
      <c r="BH328" s="399">
        <v>0</v>
      </c>
      <c r="BI328" s="399">
        <v>0</v>
      </c>
      <c r="BJ328" s="399">
        <v>0</v>
      </c>
      <c r="BK328" s="399">
        <v>0</v>
      </c>
      <c r="BL328" s="399">
        <v>0</v>
      </c>
      <c r="BM328" s="399"/>
      <c r="BN328" s="399"/>
      <c r="BO328" s="399"/>
      <c r="BP328" s="399"/>
      <c r="BQ328" s="399"/>
      <c r="BR328" s="399"/>
      <c r="BS328" s="399"/>
      <c r="BT328" s="399"/>
      <c r="BU328" s="399"/>
      <c r="BV328" s="399">
        <v>2.7549251215992041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39.819000000000003</v>
      </c>
      <c r="CJ328" s="399">
        <v>-6.363599999999991</v>
      </c>
      <c r="CK328" s="399"/>
      <c r="CL328" s="399"/>
      <c r="CM328" s="399"/>
      <c r="CN328" s="399"/>
      <c r="CO328" s="399">
        <v>-6.333599999999997</v>
      </c>
      <c r="CP328" s="399">
        <v>0</v>
      </c>
      <c r="CQ328" s="399">
        <v>31</v>
      </c>
      <c r="CR328" s="399">
        <v>-0.17877954841449473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-3.9120155211739949E-2</v>
      </c>
      <c r="DA328" s="399">
        <v>0</v>
      </c>
      <c r="DB328" s="399">
        <v>0</v>
      </c>
      <c r="DC328" s="399">
        <v>0</v>
      </c>
      <c r="DD328" s="399">
        <v>0</v>
      </c>
      <c r="DE328" s="399">
        <v>0</v>
      </c>
      <c r="DF328" s="399">
        <v>0</v>
      </c>
      <c r="DG328" s="399">
        <v>0</v>
      </c>
      <c r="DH328" s="399">
        <v>0</v>
      </c>
      <c r="DI328" s="399">
        <v>-0.12006310332281012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-1.6038469937814409E-2</v>
      </c>
      <c r="DP328" s="399">
        <v>-3.5578199421322093E-3</v>
      </c>
      <c r="DQ328" s="399">
        <v>0</v>
      </c>
      <c r="DR328" s="399">
        <v>0</v>
      </c>
      <c r="DS328" s="399"/>
      <c r="DT328" s="399"/>
      <c r="DU328" s="399"/>
      <c r="DV328" s="399">
        <v>34.636676720333398</v>
      </c>
      <c r="DW328" s="399">
        <v>0</v>
      </c>
      <c r="DX328" s="399">
        <v>0</v>
      </c>
      <c r="DY328" s="399">
        <v>-6.333599999999997</v>
      </c>
      <c r="DZ328" s="399">
        <v>0</v>
      </c>
      <c r="EA328" s="399">
        <v>0</v>
      </c>
      <c r="EB328" s="399">
        <v>0</v>
      </c>
      <c r="EC328" s="399">
        <v>-6.1547285195503996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0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229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327</v>
      </c>
      <c r="B329" s="399" t="s">
        <v>954</v>
      </c>
      <c r="C329" s="399" t="s">
        <v>2345</v>
      </c>
      <c r="D329" s="399" t="s">
        <v>1822</v>
      </c>
      <c r="E329" s="399" t="s">
        <v>888</v>
      </c>
      <c r="F329" s="399" t="s">
        <v>1237</v>
      </c>
      <c r="G329" s="399" t="s">
        <v>1237</v>
      </c>
      <c r="H329" s="399" t="s">
        <v>1237</v>
      </c>
      <c r="I329" s="399" t="s">
        <v>2322</v>
      </c>
      <c r="J329" s="399" t="s">
        <v>2337</v>
      </c>
      <c r="K329" s="788">
        <v>44743</v>
      </c>
      <c r="L329" s="399">
        <v>0</v>
      </c>
      <c r="M329" s="399">
        <v>0</v>
      </c>
      <c r="N329" s="399">
        <v>32.578000000000003</v>
      </c>
      <c r="O329" s="399">
        <v>32.578000000000003</v>
      </c>
      <c r="P329" s="399">
        <v>32.578000000000003</v>
      </c>
      <c r="Q329" s="399">
        <v>32.578000000000003</v>
      </c>
      <c r="R329" s="399"/>
      <c r="S329" s="399">
        <v>509.72</v>
      </c>
      <c r="T329" s="399">
        <v>119.97</v>
      </c>
      <c r="U329" s="399"/>
      <c r="V329" s="399">
        <v>20514.040820000002</v>
      </c>
      <c r="W329" s="399">
        <v>20514.040820000002</v>
      </c>
      <c r="X329" s="399">
        <v>18268.439280000002</v>
      </c>
      <c r="Y329" s="399">
        <v>0</v>
      </c>
      <c r="Z329" s="399">
        <v>1983.8333868960619</v>
      </c>
      <c r="AA329" s="399">
        <v>0</v>
      </c>
      <c r="AB329" s="399">
        <v>0</v>
      </c>
      <c r="AC329" s="399">
        <v>0</v>
      </c>
      <c r="AD329" s="399">
        <v>2382.0814336411677</v>
      </c>
      <c r="AE329" s="399">
        <v>11283.945799331768</v>
      </c>
      <c r="AF329" s="399">
        <v>3908.5078433604281</v>
      </c>
      <c r="AG329" s="399">
        <v>0</v>
      </c>
      <c r="AH329" s="399">
        <v>0</v>
      </c>
      <c r="AI329" s="399">
        <v>0</v>
      </c>
      <c r="AJ329" s="399">
        <v>0</v>
      </c>
      <c r="AK329" s="399">
        <v>0</v>
      </c>
      <c r="AL329" s="399">
        <v>306.56633965872743</v>
      </c>
      <c r="AM329" s="399"/>
      <c r="AN329" s="399">
        <v>70.085010716816768</v>
      </c>
      <c r="AO329" s="399">
        <v>0</v>
      </c>
      <c r="AP329" s="399">
        <v>0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>
        <v>0</v>
      </c>
      <c r="BG329" s="399">
        <v>578.98968721251572</v>
      </c>
      <c r="BH329" s="399">
        <v>0</v>
      </c>
      <c r="BI329" s="399">
        <v>0</v>
      </c>
      <c r="BJ329" s="399">
        <v>0</v>
      </c>
      <c r="BK329" s="399">
        <v>0</v>
      </c>
      <c r="BL329" s="399">
        <v>0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4487.497530572944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18269.560799999999</v>
      </c>
      <c r="CJ329" s="399">
        <v>-2244.5100199999979</v>
      </c>
      <c r="CK329" s="399"/>
      <c r="CL329" s="399"/>
      <c r="CM329" s="399"/>
      <c r="CN329" s="399"/>
      <c r="CO329" s="399">
        <v>-2245.6015400000006</v>
      </c>
      <c r="CP329" s="399">
        <v>0</v>
      </c>
      <c r="CQ329" s="399">
        <v>31</v>
      </c>
      <c r="CR329" s="399">
        <v>-240.23574975284828</v>
      </c>
      <c r="CS329" s="399">
        <v>0</v>
      </c>
      <c r="CT329" s="399">
        <v>0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-12.744564164877374</v>
      </c>
      <c r="DA329" s="399">
        <v>0</v>
      </c>
      <c r="DB329" s="399">
        <v>0</v>
      </c>
      <c r="DC329" s="399">
        <v>0</v>
      </c>
      <c r="DD329" s="399">
        <v>0</v>
      </c>
      <c r="DE329" s="399">
        <v>0</v>
      </c>
      <c r="DF329" s="399">
        <v>0</v>
      </c>
      <c r="DG329" s="399">
        <v>0</v>
      </c>
      <c r="DH329" s="399">
        <v>0</v>
      </c>
      <c r="DI329" s="399">
        <v>-195.57078900252532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-26.12506368170591</v>
      </c>
      <c r="DP329" s="399">
        <v>-5.7953329037391512</v>
      </c>
      <c r="DQ329" s="399">
        <v>0</v>
      </c>
      <c r="DR329" s="399">
        <v>0</v>
      </c>
      <c r="DS329" s="399"/>
      <c r="DT329" s="399"/>
      <c r="DU329" s="399"/>
      <c r="DV329" s="399">
        <v>11283.945799331768</v>
      </c>
      <c r="DW329" s="399">
        <v>0</v>
      </c>
      <c r="DX329" s="399">
        <v>0</v>
      </c>
      <c r="DY329" s="399">
        <v>-2245.6015400000015</v>
      </c>
      <c r="DZ329" s="399">
        <v>0</v>
      </c>
      <c r="EA329" s="399">
        <v>0</v>
      </c>
      <c r="EB329" s="399">
        <v>0</v>
      </c>
      <c r="EC329" s="399">
        <v>-2005.08910207999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0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229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328</v>
      </c>
      <c r="B330" s="399" t="s">
        <v>2339</v>
      </c>
      <c r="C330" s="399" t="s">
        <v>2345</v>
      </c>
      <c r="D330" s="399" t="s">
        <v>1822</v>
      </c>
      <c r="E330" s="399" t="s">
        <v>888</v>
      </c>
      <c r="F330" s="399" t="s">
        <v>1237</v>
      </c>
      <c r="G330" s="399" t="s">
        <v>1237</v>
      </c>
      <c r="H330" s="399" t="s">
        <v>1237</v>
      </c>
      <c r="I330" s="399" t="s">
        <v>2322</v>
      </c>
      <c r="J330" s="399" t="s">
        <v>2337</v>
      </c>
      <c r="K330" s="788">
        <v>44743</v>
      </c>
      <c r="L330" s="399">
        <v>0</v>
      </c>
      <c r="M330" s="399">
        <v>0</v>
      </c>
      <c r="N330" s="399">
        <v>0.17499999999999999</v>
      </c>
      <c r="O330" s="399">
        <v>0.17499999999999999</v>
      </c>
      <c r="P330" s="399">
        <v>0.17499999999999999</v>
      </c>
      <c r="Q330" s="399">
        <v>0.17499999999999999</v>
      </c>
      <c r="R330" s="399"/>
      <c r="S330" s="399">
        <v>509.72</v>
      </c>
      <c r="T330" s="399">
        <v>119.97</v>
      </c>
      <c r="U330" s="399"/>
      <c r="V330" s="399">
        <v>110.19574999999999</v>
      </c>
      <c r="W330" s="399">
        <v>110.19574999999999</v>
      </c>
      <c r="X330" s="399">
        <v>98.132999999999996</v>
      </c>
      <c r="Y330" s="399">
        <v>0</v>
      </c>
      <c r="Z330" s="399">
        <v>10.656603926171368</v>
      </c>
      <c r="AA330" s="399">
        <v>0</v>
      </c>
      <c r="AB330" s="399">
        <v>0</v>
      </c>
      <c r="AC330" s="399">
        <v>0</v>
      </c>
      <c r="AD330" s="399">
        <v>12.795882217668497</v>
      </c>
      <c r="AE330" s="399">
        <v>60.614233988675153</v>
      </c>
      <c r="AF330" s="399">
        <v>20.995422450367574</v>
      </c>
      <c r="AG330" s="399">
        <v>0</v>
      </c>
      <c r="AH330" s="399">
        <v>0</v>
      </c>
      <c r="AI330" s="399">
        <v>0</v>
      </c>
      <c r="AJ330" s="399">
        <v>0</v>
      </c>
      <c r="AK330" s="399">
        <v>0</v>
      </c>
      <c r="AL330" s="399">
        <v>1.6467895340498893</v>
      </c>
      <c r="AM330" s="399"/>
      <c r="AN330" s="399">
        <v>0.37647728146119874</v>
      </c>
      <c r="AO330" s="399">
        <v>0</v>
      </c>
      <c r="AP330" s="399">
        <v>0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>
        <v>0</v>
      </c>
      <c r="BG330" s="399">
        <v>3.1101723636254599</v>
      </c>
      <c r="BH330" s="399">
        <v>0</v>
      </c>
      <c r="BI330" s="399">
        <v>0</v>
      </c>
      <c r="BJ330" s="399">
        <v>0</v>
      </c>
      <c r="BK330" s="399">
        <v>0</v>
      </c>
      <c r="BL330" s="399">
        <v>0</v>
      </c>
      <c r="BM330" s="399"/>
      <c r="BN330" s="399"/>
      <c r="BO330" s="399"/>
      <c r="BP330" s="399"/>
      <c r="BQ330" s="399"/>
      <c r="BR330" s="399"/>
      <c r="BS330" s="399"/>
      <c r="BT330" s="399"/>
      <c r="BU330" s="399"/>
      <c r="BV330" s="399">
        <v>24.105594813993033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100.93680000000001</v>
      </c>
      <c r="CJ330" s="399">
        <v>-9.2889499999999998</v>
      </c>
      <c r="CK330" s="399"/>
      <c r="CL330" s="399"/>
      <c r="CM330" s="399"/>
      <c r="CN330" s="399"/>
      <c r="CO330" s="399">
        <v>-12.062750000000001</v>
      </c>
      <c r="CP330" s="399">
        <v>0</v>
      </c>
      <c r="CQ330" s="399">
        <v>31</v>
      </c>
      <c r="CR330" s="399">
        <v>-1.2904799621446514</v>
      </c>
      <c r="CS330" s="399">
        <v>0</v>
      </c>
      <c r="CT330" s="399">
        <v>0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-6.8460271620528701E-2</v>
      </c>
      <c r="DA330" s="399">
        <v>0</v>
      </c>
      <c r="DB330" s="399">
        <v>0</v>
      </c>
      <c r="DC330" s="399">
        <v>0</v>
      </c>
      <c r="DD330" s="399">
        <v>0</v>
      </c>
      <c r="DE330" s="399">
        <v>0</v>
      </c>
      <c r="DF330" s="399">
        <v>0</v>
      </c>
      <c r="DG330" s="399">
        <v>0</v>
      </c>
      <c r="DH330" s="399">
        <v>0</v>
      </c>
      <c r="DI330" s="399">
        <v>-1.0505521540745892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-0.14033661195587621</v>
      </c>
      <c r="DP330" s="399">
        <v>-3.1130924493656786E-2</v>
      </c>
      <c r="DQ330" s="399">
        <v>0</v>
      </c>
      <c r="DR330" s="399">
        <v>0</v>
      </c>
      <c r="DS330" s="399"/>
      <c r="DT330" s="399"/>
      <c r="DU330" s="399"/>
      <c r="DV330" s="399">
        <v>60.614233988675153</v>
      </c>
      <c r="DW330" s="399">
        <v>0</v>
      </c>
      <c r="DX330" s="399">
        <v>0</v>
      </c>
      <c r="DY330" s="399">
        <v>-12.062749999999994</v>
      </c>
      <c r="DZ330" s="399">
        <v>0</v>
      </c>
      <c r="EA330" s="399">
        <v>0</v>
      </c>
      <c r="EB330" s="399">
        <v>0</v>
      </c>
      <c r="EC330" s="399">
        <v>-10.770783745595132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0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229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329</v>
      </c>
      <c r="B331" s="399" t="s">
        <v>954</v>
      </c>
      <c r="C331" s="399" t="s">
        <v>2345</v>
      </c>
      <c r="D331" s="399" t="s">
        <v>1822</v>
      </c>
      <c r="E331" s="399" t="s">
        <v>888</v>
      </c>
      <c r="F331" s="399" t="s">
        <v>1237</v>
      </c>
      <c r="G331" s="399" t="s">
        <v>1237</v>
      </c>
      <c r="H331" s="399" t="s">
        <v>1237</v>
      </c>
      <c r="I331" s="399" t="s">
        <v>1237</v>
      </c>
      <c r="J331" s="399" t="s">
        <v>2337</v>
      </c>
      <c r="K331" s="788">
        <v>44743</v>
      </c>
      <c r="L331" s="399">
        <v>0</v>
      </c>
      <c r="M331" s="399">
        <v>0</v>
      </c>
      <c r="N331" s="399">
        <v>0</v>
      </c>
      <c r="O331" s="399">
        <v>0</v>
      </c>
      <c r="P331" s="399">
        <v>0</v>
      </c>
      <c r="Q331" s="399">
        <v>0</v>
      </c>
      <c r="R331" s="399"/>
      <c r="S331" s="399"/>
      <c r="T331" s="399"/>
      <c r="U331" s="399"/>
      <c r="V331" s="399"/>
      <c r="W331" s="399"/>
      <c r="X331" s="399"/>
      <c r="Y331" s="399"/>
      <c r="Z331" s="399"/>
      <c r="AA331" s="399">
        <v>0</v>
      </c>
      <c r="AB331" s="399"/>
      <c r="AC331" s="399"/>
      <c r="AD331" s="399"/>
      <c r="AE331" s="399"/>
      <c r="AF331" s="399"/>
      <c r="AG331" s="399"/>
      <c r="AH331" s="399"/>
      <c r="AI331" s="399"/>
      <c r="AJ331" s="399"/>
      <c r="AK331" s="399"/>
      <c r="AL331" s="399"/>
      <c r="AM331" s="399"/>
      <c r="AN331" s="399"/>
      <c r="AO331" s="399"/>
      <c r="AP331" s="399"/>
      <c r="AQ331" s="399"/>
      <c r="AR331" s="399"/>
      <c r="AS331" s="399"/>
      <c r="AT331" s="399"/>
      <c r="AU331" s="399"/>
      <c r="AV331" s="399"/>
      <c r="AW331" s="399"/>
      <c r="AX331" s="399"/>
      <c r="AY331" s="399"/>
      <c r="AZ331" s="399">
        <v>0</v>
      </c>
      <c r="BA331" s="399"/>
      <c r="BB331" s="399"/>
      <c r="BC331" s="399"/>
      <c r="BD331" s="399"/>
      <c r="BE331" s="399"/>
      <c r="BF331" s="399"/>
      <c r="BG331" s="399"/>
      <c r="BH331" s="399"/>
      <c r="BI331" s="399">
        <v>0</v>
      </c>
      <c r="BJ331" s="399">
        <v>0</v>
      </c>
      <c r="BK331" s="399">
        <v>3809.19</v>
      </c>
      <c r="BL331" s="399">
        <v>7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/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/>
      <c r="CJ331" s="399">
        <v>-0.03</v>
      </c>
      <c r="CK331" s="399"/>
      <c r="CL331" s="399"/>
      <c r="CM331" s="399"/>
      <c r="CN331" s="399"/>
      <c r="CO331" s="399">
        <v>0</v>
      </c>
      <c r="CP331" s="399">
        <v>0</v>
      </c>
      <c r="CQ331" s="399">
        <v>31</v>
      </c>
      <c r="CR331" s="399"/>
      <c r="CS331" s="399"/>
      <c r="CT331" s="399"/>
      <c r="CU331" s="399"/>
      <c r="CV331" s="399"/>
      <c r="CW331" s="399"/>
      <c r="CX331" s="399"/>
      <c r="CY331" s="399"/>
      <c r="CZ331" s="399"/>
      <c r="DA331" s="399"/>
      <c r="DB331" s="399"/>
      <c r="DC331" s="399"/>
      <c r="DD331" s="399"/>
      <c r="DE331" s="399"/>
      <c r="DF331" s="399"/>
      <c r="DG331" s="399"/>
      <c r="DH331" s="399"/>
      <c r="DI331" s="399"/>
      <c r="DJ331" s="399"/>
      <c r="DK331" s="399">
        <v>0</v>
      </c>
      <c r="DL331" s="399"/>
      <c r="DM331" s="399"/>
      <c r="DN331" s="399"/>
      <c r="DO331" s="399"/>
      <c r="DP331" s="399"/>
      <c r="DQ331" s="399"/>
      <c r="DR331" s="399"/>
      <c r="DS331" s="399"/>
      <c r="DT331" s="399"/>
      <c r="DU331" s="399"/>
      <c r="DV331" s="399"/>
      <c r="DW331" s="399"/>
      <c r="DX331" s="399"/>
      <c r="DY331" s="399"/>
      <c r="DZ331" s="399"/>
      <c r="EA331" s="399"/>
      <c r="EB331" s="399"/>
      <c r="EC331" s="399"/>
      <c r="ED331" s="399"/>
      <c r="EE331" s="399"/>
      <c r="EF331" s="399"/>
      <c r="EG331" s="399"/>
      <c r="EH331" s="399"/>
      <c r="EI331" s="399"/>
      <c r="EJ331" s="399"/>
      <c r="EK331" s="399"/>
      <c r="EL331" s="399"/>
      <c r="EM331" s="399"/>
      <c r="EN331" s="399"/>
      <c r="EO331" s="399"/>
      <c r="EP331" s="399"/>
      <c r="EQ331" s="399"/>
      <c r="ER331" s="399"/>
      <c r="ES331" s="399"/>
      <c r="ET331" s="399"/>
      <c r="EU331" s="399"/>
      <c r="EV331" s="399">
        <v>229</v>
      </c>
      <c r="EW331" s="399"/>
      <c r="EX331" s="399"/>
      <c r="EY331" s="399"/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330</v>
      </c>
      <c r="B332" s="399" t="s">
        <v>2339</v>
      </c>
      <c r="C332" s="399" t="s">
        <v>2345</v>
      </c>
      <c r="D332" s="399" t="s">
        <v>1822</v>
      </c>
      <c r="E332" s="399" t="s">
        <v>888</v>
      </c>
      <c r="F332" s="399" t="s">
        <v>1237</v>
      </c>
      <c r="G332" s="399" t="s">
        <v>1237</v>
      </c>
      <c r="H332" s="399" t="s">
        <v>1237</v>
      </c>
      <c r="I332" s="399" t="s">
        <v>1237</v>
      </c>
      <c r="J332" s="399" t="s">
        <v>2337</v>
      </c>
      <c r="K332" s="788">
        <v>44743</v>
      </c>
      <c r="L332" s="399">
        <v>0</v>
      </c>
      <c r="M332" s="399">
        <v>0</v>
      </c>
      <c r="N332" s="399">
        <v>0</v>
      </c>
      <c r="O332" s="399">
        <v>0</v>
      </c>
      <c r="P332" s="399">
        <v>0</v>
      </c>
      <c r="Q332" s="399">
        <v>0</v>
      </c>
      <c r="R332" s="399"/>
      <c r="S332" s="399"/>
      <c r="T332" s="399"/>
      <c r="U332" s="399"/>
      <c r="V332" s="399"/>
      <c r="W332" s="399"/>
      <c r="X332" s="399"/>
      <c r="Y332" s="399"/>
      <c r="Z332" s="399"/>
      <c r="AA332" s="399">
        <v>0</v>
      </c>
      <c r="AB332" s="399"/>
      <c r="AC332" s="399"/>
      <c r="AD332" s="399"/>
      <c r="AE332" s="399"/>
      <c r="AF332" s="399"/>
      <c r="AG332" s="399"/>
      <c r="AH332" s="399"/>
      <c r="AI332" s="399"/>
      <c r="AJ332" s="399"/>
      <c r="AK332" s="399"/>
      <c r="AL332" s="399"/>
      <c r="AM332" s="399"/>
      <c r="AN332" s="399"/>
      <c r="AO332" s="399"/>
      <c r="AP332" s="399"/>
      <c r="AQ332" s="399"/>
      <c r="AR332" s="399"/>
      <c r="AS332" s="399"/>
      <c r="AT332" s="399"/>
      <c r="AU332" s="399"/>
      <c r="AV332" s="399"/>
      <c r="AW332" s="399"/>
      <c r="AX332" s="399"/>
      <c r="AY332" s="399"/>
      <c r="AZ332" s="399">
        <v>0</v>
      </c>
      <c r="BA332" s="399"/>
      <c r="BB332" s="399"/>
      <c r="BC332" s="399"/>
      <c r="BD332" s="399"/>
      <c r="BE332" s="399"/>
      <c r="BF332" s="399"/>
      <c r="BG332" s="399"/>
      <c r="BH332" s="399"/>
      <c r="BI332" s="399">
        <v>0</v>
      </c>
      <c r="BJ332" s="399">
        <v>0</v>
      </c>
      <c r="BK332" s="399">
        <v>706.07</v>
      </c>
      <c r="BL332" s="399">
        <v>2</v>
      </c>
      <c r="BM332" s="399"/>
      <c r="BN332" s="399"/>
      <c r="BO332" s="399"/>
      <c r="BP332" s="399"/>
      <c r="BQ332" s="399"/>
      <c r="BR332" s="399"/>
      <c r="BS332" s="399"/>
      <c r="BT332" s="399"/>
      <c r="BU332" s="399"/>
      <c r="BV332" s="399"/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/>
      <c r="CJ332" s="399">
        <v>-0.03</v>
      </c>
      <c r="CK332" s="399"/>
      <c r="CL332" s="399"/>
      <c r="CM332" s="399"/>
      <c r="CN332" s="399"/>
      <c r="CO332" s="399">
        <v>0</v>
      </c>
      <c r="CP332" s="399">
        <v>0</v>
      </c>
      <c r="CQ332" s="399">
        <v>31</v>
      </c>
      <c r="CR332" s="399"/>
      <c r="CS332" s="399"/>
      <c r="CT332" s="399"/>
      <c r="CU332" s="399"/>
      <c r="CV332" s="399"/>
      <c r="CW332" s="399"/>
      <c r="CX332" s="399"/>
      <c r="CY332" s="399"/>
      <c r="CZ332" s="399"/>
      <c r="DA332" s="399"/>
      <c r="DB332" s="399"/>
      <c r="DC332" s="399"/>
      <c r="DD332" s="399"/>
      <c r="DE332" s="399"/>
      <c r="DF332" s="399"/>
      <c r="DG332" s="399"/>
      <c r="DH332" s="399"/>
      <c r="DI332" s="399"/>
      <c r="DJ332" s="399"/>
      <c r="DK332" s="399">
        <v>0</v>
      </c>
      <c r="DL332" s="399"/>
      <c r="DM332" s="399"/>
      <c r="DN332" s="399"/>
      <c r="DO332" s="399"/>
      <c r="DP332" s="399"/>
      <c r="DQ332" s="399"/>
      <c r="DR332" s="399"/>
      <c r="DS332" s="399"/>
      <c r="DT332" s="399"/>
      <c r="DU332" s="399"/>
      <c r="DV332" s="399"/>
      <c r="DW332" s="399"/>
      <c r="DX332" s="399"/>
      <c r="DY332" s="399"/>
      <c r="DZ332" s="399"/>
      <c r="EA332" s="399"/>
      <c r="EB332" s="399"/>
      <c r="EC332" s="399"/>
      <c r="ED332" s="399"/>
      <c r="EE332" s="399"/>
      <c r="EF332" s="399"/>
      <c r="EG332" s="399"/>
      <c r="EH332" s="399"/>
      <c r="EI332" s="399"/>
      <c r="EJ332" s="399"/>
      <c r="EK332" s="399"/>
      <c r="EL332" s="399"/>
      <c r="EM332" s="399"/>
      <c r="EN332" s="399"/>
      <c r="EO332" s="399"/>
      <c r="EP332" s="399"/>
      <c r="EQ332" s="399"/>
      <c r="ER332" s="399"/>
      <c r="ES332" s="399"/>
      <c r="ET332" s="399"/>
      <c r="EU332" s="399"/>
      <c r="EV332" s="399">
        <v>229</v>
      </c>
      <c r="EW332" s="399"/>
      <c r="EX332" s="399"/>
      <c r="EY332" s="399"/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331</v>
      </c>
      <c r="B333" s="399" t="s">
        <v>954</v>
      </c>
      <c r="C333" s="399" t="s">
        <v>2345</v>
      </c>
      <c r="D333" s="399" t="s">
        <v>1822</v>
      </c>
      <c r="E333" s="399" t="s">
        <v>888</v>
      </c>
      <c r="F333" s="399" t="s">
        <v>1237</v>
      </c>
      <c r="G333" s="399" t="s">
        <v>1237</v>
      </c>
      <c r="H333" s="399" t="s">
        <v>1237</v>
      </c>
      <c r="I333" s="399" t="s">
        <v>2346</v>
      </c>
      <c r="J333" s="399" t="s">
        <v>2337</v>
      </c>
      <c r="K333" s="788">
        <v>44743</v>
      </c>
      <c r="L333" s="399">
        <v>0</v>
      </c>
      <c r="M333" s="399">
        <v>0</v>
      </c>
      <c r="N333" s="399">
        <v>0.113</v>
      </c>
      <c r="O333" s="399">
        <v>0.113</v>
      </c>
      <c r="P333" s="399">
        <v>0.113</v>
      </c>
      <c r="Q333" s="399">
        <v>0.113</v>
      </c>
      <c r="R333" s="399"/>
      <c r="S333" s="399">
        <v>1348.63</v>
      </c>
      <c r="T333" s="399">
        <v>119.97</v>
      </c>
      <c r="U333" s="399"/>
      <c r="V333" s="399">
        <v>165.95180000000002</v>
      </c>
      <c r="W333" s="399">
        <v>165.95180000000002</v>
      </c>
      <c r="X333" s="399">
        <v>144.16540000000001</v>
      </c>
      <c r="Y333" s="399">
        <v>0</v>
      </c>
      <c r="Z333" s="399">
        <v>6.8811213923277972</v>
      </c>
      <c r="AA333" s="399">
        <v>0</v>
      </c>
      <c r="AB333" s="399">
        <v>0</v>
      </c>
      <c r="AC333" s="399">
        <v>0</v>
      </c>
      <c r="AD333" s="399">
        <v>24.780543407404597</v>
      </c>
      <c r="AE333" s="399">
        <v>117.41832337855078</v>
      </c>
      <c r="AF333" s="399">
        <v>13.557044210808778</v>
      </c>
      <c r="AG333" s="399">
        <v>0</v>
      </c>
      <c r="AH333" s="399">
        <v>0</v>
      </c>
      <c r="AI333" s="399">
        <v>0</v>
      </c>
      <c r="AJ333" s="399">
        <v>0</v>
      </c>
      <c r="AK333" s="399">
        <v>0</v>
      </c>
      <c r="AL333" s="399">
        <v>1.0633555277007858</v>
      </c>
      <c r="AM333" s="399"/>
      <c r="AN333" s="399">
        <v>0.24309675888637408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2.0082827262267258</v>
      </c>
      <c r="BH333" s="399">
        <v>0</v>
      </c>
      <c r="BI333" s="399">
        <v>0</v>
      </c>
      <c r="BJ333" s="399">
        <v>0</v>
      </c>
      <c r="BK333" s="399">
        <v>0</v>
      </c>
      <c r="BL333" s="399">
        <v>0</v>
      </c>
      <c r="BM333" s="399"/>
      <c r="BN333" s="399"/>
      <c r="BO333" s="399"/>
      <c r="BP333" s="399"/>
      <c r="BQ333" s="399"/>
      <c r="BR333" s="399"/>
      <c r="BS333" s="399"/>
      <c r="BT333" s="399"/>
      <c r="BU333" s="399"/>
      <c r="BV333" s="399">
        <v>15.565326937035504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140.33799999999999</v>
      </c>
      <c r="CJ333" s="399">
        <v>-25.643799999999999</v>
      </c>
      <c r="CK333" s="399"/>
      <c r="CL333" s="399"/>
      <c r="CM333" s="399"/>
      <c r="CN333" s="399"/>
      <c r="CO333" s="399">
        <v>-21.786400000000022</v>
      </c>
      <c r="CP333" s="399">
        <v>0</v>
      </c>
      <c r="CQ333" s="399">
        <v>31</v>
      </c>
      <c r="CR333" s="399">
        <v>-0.92165593641266241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-0.13258036481708757</v>
      </c>
      <c r="DA333" s="399">
        <v>0</v>
      </c>
      <c r="DB333" s="399">
        <v>0</v>
      </c>
      <c r="DC333" s="399">
        <v>0</v>
      </c>
      <c r="DD333" s="399">
        <v>0</v>
      </c>
      <c r="DE333" s="399">
        <v>0</v>
      </c>
      <c r="DF333" s="399">
        <v>0</v>
      </c>
      <c r="DG333" s="399">
        <v>0</v>
      </c>
      <c r="DH333" s="399">
        <v>0</v>
      </c>
      <c r="DI333" s="399">
        <v>-0.67835653377387661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-9.0617355148651546E-2</v>
      </c>
      <c r="DP333" s="399">
        <v>-2.0101682673046961E-2</v>
      </c>
      <c r="DQ333" s="399">
        <v>0</v>
      </c>
      <c r="DR333" s="399">
        <v>0</v>
      </c>
      <c r="DS333" s="399"/>
      <c r="DT333" s="399"/>
      <c r="DU333" s="399"/>
      <c r="DV333" s="399">
        <v>117.41832337855078</v>
      </c>
      <c r="DW333" s="399">
        <v>0</v>
      </c>
      <c r="DX333" s="399">
        <v>0</v>
      </c>
      <c r="DY333" s="399">
        <v>-21.786400000000015</v>
      </c>
      <c r="DZ333" s="399">
        <v>0</v>
      </c>
      <c r="EA333" s="399">
        <v>0</v>
      </c>
      <c r="EB333" s="399">
        <v>0</v>
      </c>
      <c r="EC333" s="399">
        <v>-20.864527779350126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229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332</v>
      </c>
      <c r="B334" s="399" t="s">
        <v>2339</v>
      </c>
      <c r="C334" s="399" t="s">
        <v>2345</v>
      </c>
      <c r="D334" s="399" t="s">
        <v>1822</v>
      </c>
      <c r="E334" s="399" t="s">
        <v>888</v>
      </c>
      <c r="F334" s="399" t="s">
        <v>1237</v>
      </c>
      <c r="G334" s="399" t="s">
        <v>1237</v>
      </c>
      <c r="H334" s="399" t="s">
        <v>1237</v>
      </c>
      <c r="I334" s="399" t="s">
        <v>2346</v>
      </c>
      <c r="J334" s="399" t="s">
        <v>2337</v>
      </c>
      <c r="K334" s="788">
        <v>44743</v>
      </c>
      <c r="L334" s="399">
        <v>0</v>
      </c>
      <c r="M334" s="399">
        <v>0</v>
      </c>
      <c r="N334" s="399">
        <v>1.2999999999999999E-2</v>
      </c>
      <c r="O334" s="399">
        <v>1.2999999999999999E-2</v>
      </c>
      <c r="P334" s="399">
        <v>1.2999999999999999E-2</v>
      </c>
      <c r="Q334" s="399">
        <v>1.2999999999999999E-2</v>
      </c>
      <c r="R334" s="399"/>
      <c r="S334" s="399">
        <v>1348.63</v>
      </c>
      <c r="T334" s="399">
        <v>119.97</v>
      </c>
      <c r="U334" s="399"/>
      <c r="V334" s="399">
        <v>19.091799999999999</v>
      </c>
      <c r="W334" s="399">
        <v>19.091799999999999</v>
      </c>
      <c r="X334" s="399">
        <v>16.5854</v>
      </c>
      <c r="Y334" s="399">
        <v>0</v>
      </c>
      <c r="Z334" s="399">
        <v>0.79163343451558732</v>
      </c>
      <c r="AA334" s="399">
        <v>0</v>
      </c>
      <c r="AB334" s="399">
        <v>0</v>
      </c>
      <c r="AC334" s="399">
        <v>0</v>
      </c>
      <c r="AD334" s="399">
        <v>2.8508589760730949</v>
      </c>
      <c r="AE334" s="399">
        <v>13.508302689567788</v>
      </c>
      <c r="AF334" s="399">
        <v>1.5596599534558768</v>
      </c>
      <c r="AG334" s="399">
        <v>0</v>
      </c>
      <c r="AH334" s="399">
        <v>0</v>
      </c>
      <c r="AI334" s="399">
        <v>0</v>
      </c>
      <c r="AJ334" s="399">
        <v>0</v>
      </c>
      <c r="AK334" s="399">
        <v>0</v>
      </c>
      <c r="AL334" s="399">
        <v>0.12233293681513463</v>
      </c>
      <c r="AM334" s="399"/>
      <c r="AN334" s="399">
        <v>2.7966883765689052E-2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0.23104137558360557</v>
      </c>
      <c r="BH334" s="399">
        <v>0</v>
      </c>
      <c r="BI334" s="399">
        <v>0</v>
      </c>
      <c r="BJ334" s="399">
        <v>0</v>
      </c>
      <c r="BK334" s="399">
        <v>0</v>
      </c>
      <c r="BL334" s="399">
        <v>0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1.7907013290394824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12.757999999999999</v>
      </c>
      <c r="CJ334" s="399">
        <v>-6.3638000000000048</v>
      </c>
      <c r="CK334" s="399"/>
      <c r="CL334" s="399"/>
      <c r="CM334" s="399"/>
      <c r="CN334" s="399"/>
      <c r="CO334" s="399">
        <v>-2.5064000000000024</v>
      </c>
      <c r="CP334" s="399">
        <v>0</v>
      </c>
      <c r="CQ334" s="399">
        <v>31</v>
      </c>
      <c r="CR334" s="399">
        <v>-0.10603121392358084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-1.5252608341788765E-2</v>
      </c>
      <c r="DA334" s="399">
        <v>0</v>
      </c>
      <c r="DB334" s="399">
        <v>0</v>
      </c>
      <c r="DC334" s="399">
        <v>0</v>
      </c>
      <c r="DD334" s="399">
        <v>0</v>
      </c>
      <c r="DE334" s="399">
        <v>0</v>
      </c>
      <c r="DF334" s="399">
        <v>0</v>
      </c>
      <c r="DG334" s="399">
        <v>0</v>
      </c>
      <c r="DH334" s="399">
        <v>0</v>
      </c>
      <c r="DI334" s="399">
        <v>-7.8041017159826587E-2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-1.0425005459579376E-2</v>
      </c>
      <c r="DP334" s="399">
        <v>-2.3125829623859354E-3</v>
      </c>
      <c r="DQ334" s="399">
        <v>0</v>
      </c>
      <c r="DR334" s="399">
        <v>0</v>
      </c>
      <c r="DS334" s="399"/>
      <c r="DT334" s="399"/>
      <c r="DU334" s="399"/>
      <c r="DV334" s="399">
        <v>13.508302689567788</v>
      </c>
      <c r="DW334" s="399">
        <v>0</v>
      </c>
      <c r="DX334" s="399">
        <v>0</v>
      </c>
      <c r="DY334" s="399">
        <v>-2.5064000000000011</v>
      </c>
      <c r="DZ334" s="399">
        <v>0</v>
      </c>
      <c r="EA334" s="399">
        <v>0</v>
      </c>
      <c r="EB334" s="399">
        <v>0</v>
      </c>
      <c r="EC334" s="399">
        <v>-2.4003439038190422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229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333</v>
      </c>
      <c r="B335" s="399" t="s">
        <v>954</v>
      </c>
      <c r="C335" s="399" t="s">
        <v>2336</v>
      </c>
      <c r="D335" s="399" t="s">
        <v>1822</v>
      </c>
      <c r="E335" s="399" t="s">
        <v>916</v>
      </c>
      <c r="F335" s="399" t="s">
        <v>1237</v>
      </c>
      <c r="G335" s="399" t="s">
        <v>1237</v>
      </c>
      <c r="H335" s="399" t="s">
        <v>1237</v>
      </c>
      <c r="I335" s="399" t="s">
        <v>1237</v>
      </c>
      <c r="J335" s="399" t="s">
        <v>2337</v>
      </c>
      <c r="K335" s="788">
        <v>44743</v>
      </c>
      <c r="L335" s="399">
        <v>0</v>
      </c>
      <c r="M335" s="399">
        <v>0</v>
      </c>
      <c r="N335" s="399">
        <v>78.19</v>
      </c>
      <c r="O335" s="399">
        <v>78.19</v>
      </c>
      <c r="P335" s="399">
        <v>78.19</v>
      </c>
      <c r="Q335" s="399">
        <v>78.19</v>
      </c>
      <c r="R335" s="399"/>
      <c r="S335" s="399">
        <v>707.13</v>
      </c>
      <c r="T335" s="399">
        <v>119.97</v>
      </c>
      <c r="U335" s="399"/>
      <c r="V335" s="399">
        <v>64670.948999999993</v>
      </c>
      <c r="W335" s="399">
        <v>64670.948999999993</v>
      </c>
      <c r="X335" s="399">
        <v>57002.855699999993</v>
      </c>
      <c r="Y335" s="399">
        <v>0</v>
      </c>
      <c r="Z335" s="399">
        <v>4761.3706342133673</v>
      </c>
      <c r="AA335" s="399">
        <v>0</v>
      </c>
      <c r="AB335" s="399">
        <v>0</v>
      </c>
      <c r="AC335" s="399">
        <v>0</v>
      </c>
      <c r="AD335" s="399">
        <v>8408.4908926159642</v>
      </c>
      <c r="AE335" s="399">
        <v>39827.088956024789</v>
      </c>
      <c r="AF335" s="399">
        <v>9380.7547508242315</v>
      </c>
      <c r="AG335" s="399">
        <v>0</v>
      </c>
      <c r="AH335" s="399">
        <v>0</v>
      </c>
      <c r="AI335" s="399">
        <v>0</v>
      </c>
      <c r="AJ335" s="399">
        <v>0</v>
      </c>
      <c r="AK335" s="399">
        <v>0</v>
      </c>
      <c r="AL335" s="399">
        <v>735.78556381349051</v>
      </c>
      <c r="AM335" s="399"/>
      <c r="AN335" s="399">
        <v>168.21004935686361</v>
      </c>
      <c r="AO335" s="399">
        <v>0</v>
      </c>
      <c r="AP335" s="399">
        <v>0</v>
      </c>
      <c r="AQ335" s="399">
        <v>0</v>
      </c>
      <c r="AR335" s="399">
        <v>0</v>
      </c>
      <c r="AS335" s="399">
        <v>0</v>
      </c>
      <c r="AT335" s="399">
        <v>0</v>
      </c>
      <c r="AU335" s="399">
        <v>0</v>
      </c>
      <c r="AV335" s="399">
        <v>0</v>
      </c>
      <c r="AW335" s="399">
        <v>0</v>
      </c>
      <c r="AX335" s="399">
        <v>0</v>
      </c>
      <c r="AY335" s="399">
        <v>0</v>
      </c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>
        <v>0</v>
      </c>
      <c r="BG335" s="399">
        <v>1389.6250120678556</v>
      </c>
      <c r="BH335" s="399">
        <v>0</v>
      </c>
      <c r="BI335" s="399">
        <v>0</v>
      </c>
      <c r="BJ335" s="399">
        <v>0</v>
      </c>
      <c r="BK335" s="399">
        <v>10793.28</v>
      </c>
      <c r="BL335" s="399">
        <v>265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>
        <v>10770.379762892087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57002.855699999993</v>
      </c>
      <c r="CJ335" s="399">
        <v>-7668.1233000000066</v>
      </c>
      <c r="CK335" s="399"/>
      <c r="CL335" s="399"/>
      <c r="CM335" s="399"/>
      <c r="CN335" s="399"/>
      <c r="CO335" s="399">
        <v>-7668.0933000000041</v>
      </c>
      <c r="CP335" s="399">
        <v>0</v>
      </c>
      <c r="CQ335" s="399">
        <v>31</v>
      </c>
      <c r="CR335" s="399">
        <v>-590.98533654247876</v>
      </c>
      <c r="CS335" s="399">
        <v>0</v>
      </c>
      <c r="CT335" s="399">
        <v>0</v>
      </c>
      <c r="CU335" s="399">
        <v>0</v>
      </c>
      <c r="CV335" s="399">
        <v>0</v>
      </c>
      <c r="CW335" s="399">
        <v>0</v>
      </c>
      <c r="CX335" s="399">
        <v>0</v>
      </c>
      <c r="CY335" s="399">
        <v>0</v>
      </c>
      <c r="CZ335" s="399">
        <v>-44.986938816302427</v>
      </c>
      <c r="DA335" s="399">
        <v>0</v>
      </c>
      <c r="DB335" s="399">
        <v>0</v>
      </c>
      <c r="DC335" s="399">
        <v>0</v>
      </c>
      <c r="DD335" s="399">
        <v>0</v>
      </c>
      <c r="DE335" s="399">
        <v>0</v>
      </c>
      <c r="DF335" s="399">
        <v>0</v>
      </c>
      <c r="DG335" s="399">
        <v>0</v>
      </c>
      <c r="DH335" s="399">
        <v>0</v>
      </c>
      <c r="DI335" s="399">
        <v>-469.38670244052628</v>
      </c>
      <c r="DJ335" s="399"/>
      <c r="DK335" s="399">
        <v>0</v>
      </c>
      <c r="DL335" s="399">
        <v>0</v>
      </c>
      <c r="DM335" s="399">
        <v>0</v>
      </c>
      <c r="DN335" s="399">
        <v>0</v>
      </c>
      <c r="DO335" s="399">
        <v>-62.70239822188546</v>
      </c>
      <c r="DP335" s="399">
        <v>-13.909297063765848</v>
      </c>
      <c r="DQ335" s="399">
        <v>0</v>
      </c>
      <c r="DR335" s="399">
        <v>0</v>
      </c>
      <c r="DS335" s="399"/>
      <c r="DT335" s="399"/>
      <c r="DU335" s="399"/>
      <c r="DV335" s="399">
        <v>39827.088956024789</v>
      </c>
      <c r="DW335" s="399">
        <v>0</v>
      </c>
      <c r="DX335" s="399">
        <v>0</v>
      </c>
      <c r="DY335" s="399">
        <v>-7668.0933000000005</v>
      </c>
      <c r="DZ335" s="399">
        <v>0</v>
      </c>
      <c r="EA335" s="399">
        <v>0</v>
      </c>
      <c r="EB335" s="399">
        <v>0</v>
      </c>
      <c r="EC335" s="399">
        <v>-7077.0334644840914</v>
      </c>
      <c r="ED335" s="399">
        <v>0</v>
      </c>
      <c r="EE335" s="399">
        <v>0</v>
      </c>
      <c r="EF335" s="399">
        <v>0</v>
      </c>
      <c r="EG335" s="399">
        <v>0</v>
      </c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>
        <v>0</v>
      </c>
      <c r="EN335" s="399">
        <v>0</v>
      </c>
      <c r="EO335" s="399">
        <v>0</v>
      </c>
      <c r="EP335" s="399">
        <v>0</v>
      </c>
      <c r="EQ335" s="399">
        <v>0</v>
      </c>
      <c r="ER335" s="399">
        <v>0</v>
      </c>
      <c r="ES335" s="399">
        <v>0</v>
      </c>
      <c r="ET335" s="399">
        <v>0</v>
      </c>
      <c r="EU335" s="399">
        <v>0</v>
      </c>
      <c r="EV335" s="399">
        <v>229</v>
      </c>
      <c r="EW335" s="399">
        <v>0</v>
      </c>
      <c r="EX335" s="399">
        <v>0</v>
      </c>
      <c r="EY335" s="399">
        <v>0</v>
      </c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334</v>
      </c>
      <c r="B336" s="399" t="s">
        <v>2339</v>
      </c>
      <c r="C336" s="399" t="s">
        <v>2336</v>
      </c>
      <c r="D336" s="399" t="s">
        <v>1822</v>
      </c>
      <c r="E336" s="399" t="s">
        <v>916</v>
      </c>
      <c r="F336" s="399" t="s">
        <v>1237</v>
      </c>
      <c r="G336" s="399" t="s">
        <v>1237</v>
      </c>
      <c r="H336" s="399" t="s">
        <v>1237</v>
      </c>
      <c r="I336" s="399" t="s">
        <v>1237</v>
      </c>
      <c r="J336" s="399" t="s">
        <v>2337</v>
      </c>
      <c r="K336" s="788">
        <v>44743</v>
      </c>
      <c r="L336" s="399">
        <v>0</v>
      </c>
      <c r="M336" s="399">
        <v>0</v>
      </c>
      <c r="N336" s="399">
        <v>12.518000000000001</v>
      </c>
      <c r="O336" s="399">
        <v>12.518000000000001</v>
      </c>
      <c r="P336" s="399">
        <v>12.518000000000001</v>
      </c>
      <c r="Q336" s="399">
        <v>12.518000000000001</v>
      </c>
      <c r="R336" s="399"/>
      <c r="S336" s="399">
        <v>707.13</v>
      </c>
      <c r="T336" s="399">
        <v>119.97</v>
      </c>
      <c r="U336" s="399"/>
      <c r="V336" s="399">
        <v>10353.6378</v>
      </c>
      <c r="W336" s="399">
        <v>10353.6378</v>
      </c>
      <c r="X336" s="399">
        <v>9125.9975400000003</v>
      </c>
      <c r="Y336" s="399">
        <v>0</v>
      </c>
      <c r="Z336" s="399">
        <v>762.28210255893248</v>
      </c>
      <c r="AA336" s="399">
        <v>0</v>
      </c>
      <c r="AB336" s="399">
        <v>0</v>
      </c>
      <c r="AC336" s="399">
        <v>0</v>
      </c>
      <c r="AD336" s="399">
        <v>1346.1758408206504</v>
      </c>
      <c r="AE336" s="399">
        <v>6376.2053913738118</v>
      </c>
      <c r="AF336" s="399">
        <v>1501.8325613354361</v>
      </c>
      <c r="AG336" s="399">
        <v>0</v>
      </c>
      <c r="AH336" s="399">
        <v>0</v>
      </c>
      <c r="AI336" s="399">
        <v>0</v>
      </c>
      <c r="AJ336" s="399">
        <v>0</v>
      </c>
      <c r="AK336" s="399">
        <v>0</v>
      </c>
      <c r="AL336" s="399">
        <v>117.7972079270658</v>
      </c>
      <c r="AM336" s="399"/>
      <c r="AN336" s="399">
        <v>26.929957767607352</v>
      </c>
      <c r="AO336" s="399">
        <v>0</v>
      </c>
      <c r="AP336" s="399">
        <v>0</v>
      </c>
      <c r="AQ336" s="399">
        <v>0</v>
      </c>
      <c r="AR336" s="399">
        <v>0</v>
      </c>
      <c r="AS336" s="399">
        <v>0</v>
      </c>
      <c r="AT336" s="399">
        <v>0</v>
      </c>
      <c r="AU336" s="399">
        <v>0</v>
      </c>
      <c r="AV336" s="399">
        <v>0</v>
      </c>
      <c r="AW336" s="399">
        <v>0</v>
      </c>
      <c r="AX336" s="399">
        <v>0</v>
      </c>
      <c r="AY336" s="399">
        <v>0</v>
      </c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>
        <v>0</v>
      </c>
      <c r="BG336" s="399">
        <v>222.47507227350576</v>
      </c>
      <c r="BH336" s="399">
        <v>0</v>
      </c>
      <c r="BI336" s="399">
        <v>0</v>
      </c>
      <c r="BJ336" s="399">
        <v>0</v>
      </c>
      <c r="BK336" s="399">
        <v>2988.09</v>
      </c>
      <c r="BL336" s="399">
        <v>8</v>
      </c>
      <c r="BM336" s="399"/>
      <c r="BN336" s="399"/>
      <c r="BO336" s="399"/>
      <c r="BP336" s="399"/>
      <c r="BQ336" s="399"/>
      <c r="BR336" s="399"/>
      <c r="BS336" s="399"/>
      <c r="BT336" s="399"/>
      <c r="BU336" s="399"/>
      <c r="BV336" s="399">
        <v>1724.3076336089418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9127.4555999999993</v>
      </c>
      <c r="CJ336" s="399">
        <v>-1226.2122000000018</v>
      </c>
      <c r="CK336" s="399"/>
      <c r="CL336" s="399"/>
      <c r="CM336" s="399"/>
      <c r="CN336" s="399"/>
      <c r="CO336" s="399">
        <v>-1227.6402600000006</v>
      </c>
      <c r="CP336" s="399">
        <v>0</v>
      </c>
      <c r="CQ336" s="399">
        <v>31</v>
      </c>
      <c r="CR336" s="399">
        <v>-94.615097107542624</v>
      </c>
      <c r="CS336" s="399">
        <v>0</v>
      </c>
      <c r="CT336" s="399">
        <v>0</v>
      </c>
      <c r="CU336" s="399">
        <v>0</v>
      </c>
      <c r="CV336" s="399">
        <v>0</v>
      </c>
      <c r="CW336" s="399">
        <v>0</v>
      </c>
      <c r="CX336" s="399">
        <v>0</v>
      </c>
      <c r="CY336" s="399">
        <v>0</v>
      </c>
      <c r="CZ336" s="399">
        <v>-7.2022829019374512</v>
      </c>
      <c r="DA336" s="399">
        <v>0</v>
      </c>
      <c r="DB336" s="399">
        <v>0</v>
      </c>
      <c r="DC336" s="399">
        <v>0</v>
      </c>
      <c r="DD336" s="399">
        <v>0</v>
      </c>
      <c r="DE336" s="399">
        <v>0</v>
      </c>
      <c r="DF336" s="399">
        <v>0</v>
      </c>
      <c r="DG336" s="399">
        <v>0</v>
      </c>
      <c r="DH336" s="399">
        <v>0</v>
      </c>
      <c r="DI336" s="399">
        <v>-75.147496369746818</v>
      </c>
      <c r="DJ336" s="399"/>
      <c r="DK336" s="399">
        <v>0</v>
      </c>
      <c r="DL336" s="399">
        <v>0</v>
      </c>
      <c r="DM336" s="399">
        <v>0</v>
      </c>
      <c r="DN336" s="399">
        <v>0</v>
      </c>
      <c r="DO336" s="399">
        <v>-10.038478334078036</v>
      </c>
      <c r="DP336" s="399">
        <v>-2.226839501780546</v>
      </c>
      <c r="DQ336" s="399">
        <v>0</v>
      </c>
      <c r="DR336" s="399">
        <v>0</v>
      </c>
      <c r="DS336" s="399"/>
      <c r="DT336" s="399"/>
      <c r="DU336" s="399"/>
      <c r="DV336" s="399">
        <v>6376.2053913738118</v>
      </c>
      <c r="DW336" s="399">
        <v>0</v>
      </c>
      <c r="DX336" s="399">
        <v>0</v>
      </c>
      <c r="DY336" s="399">
        <v>-1227.6402600000001</v>
      </c>
      <c r="DZ336" s="399">
        <v>0</v>
      </c>
      <c r="EA336" s="399">
        <v>0</v>
      </c>
      <c r="EB336" s="399">
        <v>0</v>
      </c>
      <c r="EC336" s="399">
        <v>-1133.0132358154733</v>
      </c>
      <c r="ED336" s="399">
        <v>0</v>
      </c>
      <c r="EE336" s="399">
        <v>0</v>
      </c>
      <c r="EF336" s="399">
        <v>0</v>
      </c>
      <c r="EG336" s="399">
        <v>0</v>
      </c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>
        <v>0</v>
      </c>
      <c r="EN336" s="399">
        <v>0</v>
      </c>
      <c r="EO336" s="399">
        <v>0</v>
      </c>
      <c r="EP336" s="399">
        <v>0</v>
      </c>
      <c r="EQ336" s="399">
        <v>0</v>
      </c>
      <c r="ER336" s="399">
        <v>0</v>
      </c>
      <c r="ES336" s="399">
        <v>0</v>
      </c>
      <c r="ET336" s="399">
        <v>0</v>
      </c>
      <c r="EU336" s="399">
        <v>0</v>
      </c>
      <c r="EV336" s="399">
        <v>229</v>
      </c>
      <c r="EW336" s="399">
        <v>0</v>
      </c>
      <c r="EX336" s="399">
        <v>0</v>
      </c>
      <c r="EY336" s="399">
        <v>0</v>
      </c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335</v>
      </c>
      <c r="B337" s="399" t="s">
        <v>954</v>
      </c>
      <c r="C337" s="399" t="s">
        <v>2336</v>
      </c>
      <c r="D337" s="399" t="s">
        <v>2347</v>
      </c>
      <c r="E337" s="399" t="s">
        <v>892</v>
      </c>
      <c r="F337" s="399" t="s">
        <v>1237</v>
      </c>
      <c r="G337" s="399" t="s">
        <v>1237</v>
      </c>
      <c r="H337" s="399" t="s">
        <v>1237</v>
      </c>
      <c r="I337" s="399" t="s">
        <v>1237</v>
      </c>
      <c r="J337" s="399" t="s">
        <v>2337</v>
      </c>
      <c r="K337" s="788">
        <v>44743</v>
      </c>
      <c r="L337" s="399">
        <v>0</v>
      </c>
      <c r="M337" s="399">
        <v>0</v>
      </c>
      <c r="N337" s="399">
        <v>241.06</v>
      </c>
      <c r="O337" s="399">
        <v>241.06</v>
      </c>
      <c r="P337" s="399">
        <v>241.06</v>
      </c>
      <c r="Q337" s="399">
        <v>241.06</v>
      </c>
      <c r="R337" s="399"/>
      <c r="S337" s="399">
        <v>707.13</v>
      </c>
      <c r="T337" s="399">
        <v>119.97</v>
      </c>
      <c r="U337" s="399"/>
      <c r="V337" s="399">
        <v>199380.726</v>
      </c>
      <c r="W337" s="399">
        <v>199380.726</v>
      </c>
      <c r="X337" s="399">
        <v>175739.9718</v>
      </c>
      <c r="Y337" s="399">
        <v>0</v>
      </c>
      <c r="Z337" s="399">
        <v>14679.319671102114</v>
      </c>
      <c r="AA337" s="399">
        <v>0</v>
      </c>
      <c r="AB337" s="399">
        <v>0</v>
      </c>
      <c r="AC337" s="399">
        <v>0</v>
      </c>
      <c r="AD337" s="399">
        <v>25923.402155953503</v>
      </c>
      <c r="AE337" s="399">
        <v>122787.03240490262</v>
      </c>
      <c r="AF337" s="399">
        <v>28920.894490774899</v>
      </c>
      <c r="AG337" s="399">
        <v>0</v>
      </c>
      <c r="AH337" s="399">
        <v>0</v>
      </c>
      <c r="AI337" s="399">
        <v>0</v>
      </c>
      <c r="AJ337" s="399">
        <v>0</v>
      </c>
      <c r="AK337" s="399">
        <v>0</v>
      </c>
      <c r="AL337" s="399">
        <v>2268.4290575889504</v>
      </c>
      <c r="AM337" s="399"/>
      <c r="AN337" s="399">
        <v>518.5920769659233</v>
      </c>
      <c r="AO337" s="399">
        <v>0</v>
      </c>
      <c r="AP337" s="399">
        <v>0</v>
      </c>
      <c r="AQ337" s="399">
        <v>0</v>
      </c>
      <c r="AR337" s="399">
        <v>0</v>
      </c>
      <c r="AS337" s="399">
        <v>0</v>
      </c>
      <c r="AT337" s="399">
        <v>0</v>
      </c>
      <c r="AU337" s="399">
        <v>0</v>
      </c>
      <c r="AV337" s="399">
        <v>0</v>
      </c>
      <c r="AW337" s="399">
        <v>0</v>
      </c>
      <c r="AX337" s="399">
        <v>0</v>
      </c>
      <c r="AY337" s="399">
        <v>0</v>
      </c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>
        <v>0</v>
      </c>
      <c r="BG337" s="399">
        <v>4284.2179998603051</v>
      </c>
      <c r="BH337" s="399">
        <v>0</v>
      </c>
      <c r="BI337" s="399">
        <v>0</v>
      </c>
      <c r="BJ337" s="399">
        <v>0</v>
      </c>
      <c r="BK337" s="399">
        <v>24873.279999999999</v>
      </c>
      <c r="BL337" s="399">
        <v>698</v>
      </c>
      <c r="BM337" s="399"/>
      <c r="BN337" s="399"/>
      <c r="BO337" s="399"/>
      <c r="BP337" s="399"/>
      <c r="BQ337" s="399"/>
      <c r="BR337" s="399">
        <v>21087.92879999998</v>
      </c>
      <c r="BS337" s="399"/>
      <c r="BT337" s="399"/>
      <c r="BU337" s="399"/>
      <c r="BV337" s="399">
        <v>33205.112490635205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154652.04300000001</v>
      </c>
      <c r="CJ337" s="399">
        <v>-20805.918600000034</v>
      </c>
      <c r="CK337" s="399"/>
      <c r="CL337" s="399"/>
      <c r="CM337" s="399"/>
      <c r="CN337" s="399"/>
      <c r="CO337" s="399">
        <v>-23640.754200000014</v>
      </c>
      <c r="CP337" s="399">
        <v>0</v>
      </c>
      <c r="CQ337" s="399">
        <v>31</v>
      </c>
      <c r="CR337" s="399">
        <v>-1822.0095309749449</v>
      </c>
      <c r="CS337" s="399">
        <v>0</v>
      </c>
      <c r="CT337" s="399">
        <v>0</v>
      </c>
      <c r="CU337" s="399">
        <v>0</v>
      </c>
      <c r="CV337" s="399">
        <v>0</v>
      </c>
      <c r="CW337" s="399">
        <v>0</v>
      </c>
      <c r="CX337" s="399">
        <v>0</v>
      </c>
      <c r="CY337" s="399">
        <v>0</v>
      </c>
      <c r="CZ337" s="399">
        <v>-138.69486470210904</v>
      </c>
      <c r="DA337" s="399">
        <v>0</v>
      </c>
      <c r="DB337" s="399">
        <v>0</v>
      </c>
      <c r="DC337" s="399">
        <v>0</v>
      </c>
      <c r="DD337" s="399">
        <v>0</v>
      </c>
      <c r="DE337" s="399">
        <v>0</v>
      </c>
      <c r="DF337" s="399">
        <v>0</v>
      </c>
      <c r="DG337" s="399">
        <v>0</v>
      </c>
      <c r="DH337" s="399">
        <v>0</v>
      </c>
      <c r="DI337" s="399">
        <v>-1447.1205843498301</v>
      </c>
      <c r="DJ337" s="399"/>
      <c r="DK337" s="399">
        <v>0</v>
      </c>
      <c r="DL337" s="399">
        <v>0</v>
      </c>
      <c r="DM337" s="399">
        <v>0</v>
      </c>
      <c r="DN337" s="399">
        <v>0</v>
      </c>
      <c r="DO337" s="399">
        <v>-193.31167816047719</v>
      </c>
      <c r="DP337" s="399">
        <v>-42.882403762519459</v>
      </c>
      <c r="DQ337" s="399">
        <v>0</v>
      </c>
      <c r="DR337" s="399">
        <v>0</v>
      </c>
      <c r="DS337" s="399"/>
      <c r="DT337" s="399"/>
      <c r="DU337" s="399"/>
      <c r="DV337" s="399">
        <v>122787.03240490262</v>
      </c>
      <c r="DW337" s="399">
        <v>0</v>
      </c>
      <c r="DX337" s="399">
        <v>0</v>
      </c>
      <c r="DY337" s="399">
        <v>-23640.754199999996</v>
      </c>
      <c r="DZ337" s="399">
        <v>0</v>
      </c>
      <c r="EA337" s="399">
        <v>0</v>
      </c>
      <c r="EB337" s="399">
        <v>0</v>
      </c>
      <c r="EC337" s="399">
        <v>-21818.514988470852</v>
      </c>
      <c r="ED337" s="399">
        <v>0</v>
      </c>
      <c r="EE337" s="399">
        <v>0</v>
      </c>
      <c r="EF337" s="399">
        <v>0</v>
      </c>
      <c r="EG337" s="399">
        <v>0</v>
      </c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>
        <v>0</v>
      </c>
      <c r="EN337" s="399">
        <v>0</v>
      </c>
      <c r="EO337" s="399">
        <v>0</v>
      </c>
      <c r="EP337" s="399">
        <v>0</v>
      </c>
      <c r="EQ337" s="399">
        <v>0</v>
      </c>
      <c r="ER337" s="399">
        <v>0</v>
      </c>
      <c r="ES337" s="399">
        <v>0</v>
      </c>
      <c r="ET337" s="399">
        <v>0</v>
      </c>
      <c r="EU337" s="399">
        <v>0</v>
      </c>
      <c r="EV337" s="399">
        <v>229</v>
      </c>
      <c r="EW337" s="399">
        <v>0</v>
      </c>
      <c r="EX337" s="399">
        <v>0</v>
      </c>
      <c r="EY337" s="399">
        <v>0</v>
      </c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336</v>
      </c>
      <c r="B338" s="399" t="s">
        <v>2339</v>
      </c>
      <c r="C338" s="399" t="s">
        <v>2336</v>
      </c>
      <c r="D338" s="399" t="s">
        <v>2347</v>
      </c>
      <c r="E338" s="399" t="s">
        <v>892</v>
      </c>
      <c r="F338" s="399" t="s">
        <v>1237</v>
      </c>
      <c r="G338" s="399" t="s">
        <v>1237</v>
      </c>
      <c r="H338" s="399" t="s">
        <v>1237</v>
      </c>
      <c r="I338" s="399" t="s">
        <v>1237</v>
      </c>
      <c r="J338" s="399" t="s">
        <v>2337</v>
      </c>
      <c r="K338" s="788">
        <v>44743</v>
      </c>
      <c r="L338" s="399">
        <v>0</v>
      </c>
      <c r="M338" s="399">
        <v>0</v>
      </c>
      <c r="N338" s="399">
        <v>28.602</v>
      </c>
      <c r="O338" s="399">
        <v>28.602</v>
      </c>
      <c r="P338" s="399">
        <v>28.602</v>
      </c>
      <c r="Q338" s="399">
        <v>28.602</v>
      </c>
      <c r="R338" s="399"/>
      <c r="S338" s="399">
        <v>707.13</v>
      </c>
      <c r="T338" s="399">
        <v>119.97</v>
      </c>
      <c r="U338" s="399"/>
      <c r="V338" s="399">
        <v>23656.714199999999</v>
      </c>
      <c r="W338" s="399">
        <v>23656.714199999999</v>
      </c>
      <c r="X338" s="399">
        <v>20851.716059999999</v>
      </c>
      <c r="Y338" s="399">
        <v>0</v>
      </c>
      <c r="Z338" s="399">
        <v>1741.7153456934484</v>
      </c>
      <c r="AA338" s="399">
        <v>0</v>
      </c>
      <c r="AB338" s="399">
        <v>0</v>
      </c>
      <c r="AC338" s="399">
        <v>0</v>
      </c>
      <c r="AD338" s="399">
        <v>3075.8365073615787</v>
      </c>
      <c r="AE338" s="399">
        <v>14568.799057682838</v>
      </c>
      <c r="AF338" s="399">
        <v>3431.4918452880765</v>
      </c>
      <c r="AG338" s="399">
        <v>0</v>
      </c>
      <c r="AH338" s="399">
        <v>0</v>
      </c>
      <c r="AI338" s="399">
        <v>0</v>
      </c>
      <c r="AJ338" s="399">
        <v>0</v>
      </c>
      <c r="AK338" s="399">
        <v>0</v>
      </c>
      <c r="AL338" s="399">
        <v>269.15128144511391</v>
      </c>
      <c r="AM338" s="399"/>
      <c r="AN338" s="399">
        <v>61.531446882018329</v>
      </c>
      <c r="AO338" s="399">
        <v>0</v>
      </c>
      <c r="AP338" s="399">
        <v>0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508.32657111094517</v>
      </c>
      <c r="BH338" s="399">
        <v>0</v>
      </c>
      <c r="BI338" s="399">
        <v>0</v>
      </c>
      <c r="BJ338" s="399">
        <v>0</v>
      </c>
      <c r="BK338" s="399">
        <v>5447.69</v>
      </c>
      <c r="BL338" s="399">
        <v>18</v>
      </c>
      <c r="BM338" s="399"/>
      <c r="BN338" s="399"/>
      <c r="BO338" s="399"/>
      <c r="BP338" s="399"/>
      <c r="BQ338" s="399"/>
      <c r="BR338" s="399">
        <v>2502.1029599999979</v>
      </c>
      <c r="BS338" s="399"/>
      <c r="BT338" s="399"/>
      <c r="BU338" s="399"/>
      <c r="BV338" s="399">
        <v>3939.8184163990218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18348.330000000002</v>
      </c>
      <c r="CJ338" s="399">
        <v>-2469.95171999999</v>
      </c>
      <c r="CK338" s="399"/>
      <c r="CL338" s="399"/>
      <c r="CM338" s="399"/>
      <c r="CN338" s="399"/>
      <c r="CO338" s="399">
        <v>-2804.9981400000015</v>
      </c>
      <c r="CP338" s="399">
        <v>0</v>
      </c>
      <c r="CQ338" s="399">
        <v>31</v>
      </c>
      <c r="CR338" s="399">
        <v>-216.18317682296947</v>
      </c>
      <c r="CS338" s="399">
        <v>0</v>
      </c>
      <c r="CT338" s="399">
        <v>0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-16.456278603708142</v>
      </c>
      <c r="DA338" s="399">
        <v>0</v>
      </c>
      <c r="DB338" s="399">
        <v>0</v>
      </c>
      <c r="DC338" s="399">
        <v>0</v>
      </c>
      <c r="DD338" s="399">
        <v>0</v>
      </c>
      <c r="DE338" s="399">
        <v>0</v>
      </c>
      <c r="DF338" s="399">
        <v>0</v>
      </c>
      <c r="DG338" s="399">
        <v>0</v>
      </c>
      <c r="DH338" s="399">
        <v>0</v>
      </c>
      <c r="DI338" s="399">
        <v>-171.70224406195075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-22.936615858068393</v>
      </c>
      <c r="DP338" s="399">
        <v>-5.0880382992432658</v>
      </c>
      <c r="DQ338" s="399">
        <v>0</v>
      </c>
      <c r="DR338" s="399">
        <v>0</v>
      </c>
      <c r="DS338" s="399"/>
      <c r="DT338" s="399"/>
      <c r="DU338" s="399"/>
      <c r="DV338" s="399">
        <v>14568.799057682838</v>
      </c>
      <c r="DW338" s="399">
        <v>0</v>
      </c>
      <c r="DX338" s="399">
        <v>0</v>
      </c>
      <c r="DY338" s="399">
        <v>-2804.9981399999997</v>
      </c>
      <c r="DZ338" s="399">
        <v>0</v>
      </c>
      <c r="EA338" s="399">
        <v>0</v>
      </c>
      <c r="EB338" s="399">
        <v>0</v>
      </c>
      <c r="EC338" s="399">
        <v>-2588.7877113591767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0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229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337</v>
      </c>
      <c r="B339" s="399" t="s">
        <v>954</v>
      </c>
      <c r="C339" s="399" t="s">
        <v>2336</v>
      </c>
      <c r="D339" s="399" t="s">
        <v>1822</v>
      </c>
      <c r="E339" s="399" t="s">
        <v>2348</v>
      </c>
      <c r="F339" s="399" t="s">
        <v>1237</v>
      </c>
      <c r="G339" s="399" t="s">
        <v>1237</v>
      </c>
      <c r="H339" s="399" t="s">
        <v>1237</v>
      </c>
      <c r="I339" s="399" t="s">
        <v>1237</v>
      </c>
      <c r="J339" s="399" t="s">
        <v>2337</v>
      </c>
      <c r="K339" s="788">
        <v>44743</v>
      </c>
      <c r="L339" s="399">
        <v>0</v>
      </c>
      <c r="M339" s="399">
        <v>0</v>
      </c>
      <c r="N339" s="399">
        <v>27.748000000000001</v>
      </c>
      <c r="O339" s="399">
        <v>27.748000000000001</v>
      </c>
      <c r="P339" s="399">
        <v>27.748000000000001</v>
      </c>
      <c r="Q339" s="399">
        <v>27.748000000000001</v>
      </c>
      <c r="R339" s="399"/>
      <c r="S339" s="399">
        <v>707.13</v>
      </c>
      <c r="T339" s="399">
        <v>119.97</v>
      </c>
      <c r="U339" s="399"/>
      <c r="V339" s="399">
        <v>22950.370800000001</v>
      </c>
      <c r="W339" s="399">
        <v>22950.370800000001</v>
      </c>
      <c r="X339" s="399">
        <v>20229.12444</v>
      </c>
      <c r="Y339" s="399">
        <v>0</v>
      </c>
      <c r="Z339" s="399">
        <v>1689.7111185337321</v>
      </c>
      <c r="AA339" s="399">
        <v>0</v>
      </c>
      <c r="AB339" s="399">
        <v>0</v>
      </c>
      <c r="AC339" s="399">
        <v>0</v>
      </c>
      <c r="AD339" s="399">
        <v>2983.998021336588</v>
      </c>
      <c r="AE339" s="399">
        <v>14133.803099523928</v>
      </c>
      <c r="AF339" s="399">
        <v>3329.0341837302826</v>
      </c>
      <c r="AG339" s="399">
        <v>0</v>
      </c>
      <c r="AH339" s="399">
        <v>0</v>
      </c>
      <c r="AI339" s="399">
        <v>0</v>
      </c>
      <c r="AJ339" s="399">
        <v>0</v>
      </c>
      <c r="AK339" s="399">
        <v>0</v>
      </c>
      <c r="AL339" s="399">
        <v>261.11494851895048</v>
      </c>
      <c r="AM339" s="399"/>
      <c r="AN339" s="399">
        <v>59.69423774848768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493.14892997645296</v>
      </c>
      <c r="BH339" s="399">
        <v>0</v>
      </c>
      <c r="BI339" s="399">
        <v>0</v>
      </c>
      <c r="BJ339" s="399">
        <v>0</v>
      </c>
      <c r="BK339" s="399">
        <v>3935.3</v>
      </c>
      <c r="BL339" s="399">
        <v>83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>
        <v>3822.1831137067356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20230.582499999997</v>
      </c>
      <c r="CJ339" s="399">
        <v>-2719.818299999999</v>
      </c>
      <c r="CK339" s="399"/>
      <c r="CL339" s="399"/>
      <c r="CM339" s="399"/>
      <c r="CN339" s="399"/>
      <c r="CO339" s="399">
        <v>-2721.2463600000015</v>
      </c>
      <c r="CP339" s="399">
        <v>0</v>
      </c>
      <c r="CQ339" s="399">
        <v>31</v>
      </c>
      <c r="CR339" s="399">
        <v>-209.72836831283894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-15.964926183332864</v>
      </c>
      <c r="DA339" s="399">
        <v>0</v>
      </c>
      <c r="DB339" s="399">
        <v>0</v>
      </c>
      <c r="DC339" s="399">
        <v>0</v>
      </c>
      <c r="DD339" s="399">
        <v>0</v>
      </c>
      <c r="DE339" s="399">
        <v>0</v>
      </c>
      <c r="DF339" s="399">
        <v>0</v>
      </c>
      <c r="DG339" s="399">
        <v>0</v>
      </c>
      <c r="DH339" s="399">
        <v>0</v>
      </c>
      <c r="DI339" s="399">
        <v>-166.57554955006663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-22.251773191723743</v>
      </c>
      <c r="DP339" s="399">
        <v>-4.9361193877142213</v>
      </c>
      <c r="DQ339" s="399">
        <v>0</v>
      </c>
      <c r="DR339" s="399">
        <v>0</v>
      </c>
      <c r="DS339" s="399"/>
      <c r="DT339" s="399"/>
      <c r="DU339" s="399"/>
      <c r="DV339" s="399">
        <v>14133.803099523928</v>
      </c>
      <c r="DW339" s="399">
        <v>0</v>
      </c>
      <c r="DX339" s="399">
        <v>0</v>
      </c>
      <c r="DY339" s="399">
        <v>-2721.246360000001</v>
      </c>
      <c r="DZ339" s="399">
        <v>0</v>
      </c>
      <c r="EA339" s="399">
        <v>0</v>
      </c>
      <c r="EB339" s="399">
        <v>0</v>
      </c>
      <c r="EC339" s="399">
        <v>-2511.491553555501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229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338</v>
      </c>
      <c r="B340" s="399" t="s">
        <v>954</v>
      </c>
      <c r="C340" s="399" t="s">
        <v>2336</v>
      </c>
      <c r="D340" s="399" t="s">
        <v>2349</v>
      </c>
      <c r="E340" s="399" t="s">
        <v>2350</v>
      </c>
      <c r="F340" s="399" t="s">
        <v>2351</v>
      </c>
      <c r="G340" s="399" t="s">
        <v>1237</v>
      </c>
      <c r="H340" s="399" t="s">
        <v>1237</v>
      </c>
      <c r="I340" s="399" t="s">
        <v>1237</v>
      </c>
      <c r="J340" s="399" t="s">
        <v>2337</v>
      </c>
      <c r="K340" s="788">
        <v>44743</v>
      </c>
      <c r="L340" s="399">
        <v>0</v>
      </c>
      <c r="M340" s="399">
        <v>0</v>
      </c>
      <c r="N340" s="399">
        <v>84.697999999999993</v>
      </c>
      <c r="O340" s="399">
        <v>84.697999999999993</v>
      </c>
      <c r="P340" s="399">
        <v>84.697999999999993</v>
      </c>
      <c r="Q340" s="399">
        <v>84.697999999999993</v>
      </c>
      <c r="R340" s="399"/>
      <c r="S340" s="399">
        <v>388.92</v>
      </c>
      <c r="T340" s="399">
        <v>65.989999999999995</v>
      </c>
      <c r="U340" s="399"/>
      <c r="V340" s="399">
        <v>38529.967179999992</v>
      </c>
      <c r="W340" s="399">
        <v>38529.967179999992</v>
      </c>
      <c r="X340" s="399">
        <v>33961.357059999995</v>
      </c>
      <c r="Y340" s="399">
        <v>0</v>
      </c>
      <c r="Z340" s="399">
        <v>2836.7209807792856</v>
      </c>
      <c r="AA340" s="399">
        <v>0</v>
      </c>
      <c r="AB340" s="399">
        <v>0</v>
      </c>
      <c r="AC340" s="399">
        <v>0</v>
      </c>
      <c r="AD340" s="399">
        <v>5009.5958420838015</v>
      </c>
      <c r="AE340" s="399">
        <v>23728.112664260949</v>
      </c>
      <c r="AF340" s="399">
        <v>5588.8494850610123</v>
      </c>
      <c r="AG340" s="399">
        <v>0</v>
      </c>
      <c r="AH340" s="399">
        <v>0</v>
      </c>
      <c r="AI340" s="399">
        <v>0</v>
      </c>
      <c r="AJ340" s="399">
        <v>0</v>
      </c>
      <c r="AK340" s="399">
        <v>0</v>
      </c>
      <c r="AL340" s="399">
        <v>438.36502271558072</v>
      </c>
      <c r="AM340" s="399"/>
      <c r="AN340" s="399">
        <v>100.21588589634499</v>
      </c>
      <c r="AO340" s="399">
        <v>0</v>
      </c>
      <c r="AP340" s="399">
        <v>0</v>
      </c>
      <c r="AQ340" s="399">
        <v>0</v>
      </c>
      <c r="AR340" s="399">
        <v>0</v>
      </c>
      <c r="AS340" s="399">
        <v>0</v>
      </c>
      <c r="AT340" s="399">
        <v>0</v>
      </c>
      <c r="AU340" s="399">
        <v>0</v>
      </c>
      <c r="AV340" s="399">
        <v>0</v>
      </c>
      <c r="AW340" s="399">
        <v>0</v>
      </c>
      <c r="AX340" s="399">
        <v>0</v>
      </c>
      <c r="AY340" s="399">
        <v>0</v>
      </c>
      <c r="AZ340" s="399">
        <v>0</v>
      </c>
      <c r="BA340" s="399"/>
      <c r="BB340" s="399">
        <v>0</v>
      </c>
      <c r="BC340" s="399">
        <v>0</v>
      </c>
      <c r="BD340" s="399">
        <v>0</v>
      </c>
      <c r="BE340" s="399">
        <v>0</v>
      </c>
      <c r="BF340" s="399">
        <v>0</v>
      </c>
      <c r="BG340" s="399">
        <v>827.90833354223957</v>
      </c>
      <c r="BH340" s="399">
        <v>0</v>
      </c>
      <c r="BI340" s="399">
        <v>0</v>
      </c>
      <c r="BJ340" s="399">
        <v>0</v>
      </c>
      <c r="BK340" s="399">
        <v>6955.94</v>
      </c>
      <c r="BL340" s="399">
        <v>2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>
        <v>6416.7578186032515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33962.159000000007</v>
      </c>
      <c r="CJ340" s="399">
        <v>-4567.8381799999916</v>
      </c>
      <c r="CK340" s="399"/>
      <c r="CL340" s="399"/>
      <c r="CM340" s="399"/>
      <c r="CN340" s="399"/>
      <c r="CO340" s="399">
        <v>-4568.6101199999994</v>
      </c>
      <c r="CP340" s="399">
        <v>0</v>
      </c>
      <c r="CQ340" s="399">
        <v>31</v>
      </c>
      <c r="CR340" s="399">
        <v>-352.09619924494655</v>
      </c>
      <c r="CS340" s="399">
        <v>0</v>
      </c>
      <c r="CT340" s="399">
        <v>0</v>
      </c>
      <c r="CU340" s="399">
        <v>0</v>
      </c>
      <c r="CV340" s="399">
        <v>0</v>
      </c>
      <c r="CW340" s="399">
        <v>0</v>
      </c>
      <c r="CX340" s="399">
        <v>0</v>
      </c>
      <c r="CY340" s="399">
        <v>0</v>
      </c>
      <c r="CZ340" s="399">
        <v>-26.802238894049879</v>
      </c>
      <c r="DA340" s="399">
        <v>0</v>
      </c>
      <c r="DB340" s="399">
        <v>0</v>
      </c>
      <c r="DC340" s="399">
        <v>0</v>
      </c>
      <c r="DD340" s="399">
        <v>0</v>
      </c>
      <c r="DE340" s="399">
        <v>0</v>
      </c>
      <c r="DF340" s="399">
        <v>0</v>
      </c>
      <c r="DG340" s="399">
        <v>0</v>
      </c>
      <c r="DH340" s="399">
        <v>0</v>
      </c>
      <c r="DI340" s="399">
        <v>-279.65037994397471</v>
      </c>
      <c r="DJ340" s="399"/>
      <c r="DK340" s="399">
        <v>0</v>
      </c>
      <c r="DL340" s="399">
        <v>0</v>
      </c>
      <c r="DM340" s="399">
        <v>0</v>
      </c>
      <c r="DN340" s="399">
        <v>0</v>
      </c>
      <c r="DO340" s="399">
        <v>-37.35672398680714</v>
      </c>
      <c r="DP340" s="399">
        <v>-8.2868564201149866</v>
      </c>
      <c r="DQ340" s="399">
        <v>0</v>
      </c>
      <c r="DR340" s="399">
        <v>0</v>
      </c>
      <c r="DS340" s="399"/>
      <c r="DT340" s="399"/>
      <c r="DU340" s="399"/>
      <c r="DV340" s="399">
        <v>23728.112664260949</v>
      </c>
      <c r="DW340" s="399">
        <v>0</v>
      </c>
      <c r="DX340" s="399">
        <v>0</v>
      </c>
      <c r="DY340" s="399">
        <v>-4568.6101199999976</v>
      </c>
      <c r="DZ340" s="399">
        <v>0</v>
      </c>
      <c r="EA340" s="399">
        <v>0</v>
      </c>
      <c r="EB340" s="399">
        <v>0</v>
      </c>
      <c r="EC340" s="399">
        <v>-4216.3424888883237</v>
      </c>
      <c r="ED340" s="399">
        <v>0</v>
      </c>
      <c r="EE340" s="399">
        <v>0</v>
      </c>
      <c r="EF340" s="399">
        <v>0</v>
      </c>
      <c r="EG340" s="399">
        <v>0</v>
      </c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>
        <v>0</v>
      </c>
      <c r="EN340" s="399">
        <v>0</v>
      </c>
      <c r="EO340" s="399">
        <v>0</v>
      </c>
      <c r="EP340" s="399">
        <v>0</v>
      </c>
      <c r="EQ340" s="399">
        <v>0</v>
      </c>
      <c r="ER340" s="399">
        <v>0</v>
      </c>
      <c r="ES340" s="399">
        <v>0</v>
      </c>
      <c r="ET340" s="399">
        <v>0</v>
      </c>
      <c r="EU340" s="399">
        <v>0</v>
      </c>
      <c r="EV340" s="399">
        <v>229</v>
      </c>
      <c r="EW340" s="399">
        <v>0</v>
      </c>
      <c r="EX340" s="399">
        <v>0</v>
      </c>
      <c r="EY340" s="399">
        <v>0</v>
      </c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339</v>
      </c>
      <c r="B341" s="399" t="s">
        <v>954</v>
      </c>
      <c r="C341" s="399" t="s">
        <v>2336</v>
      </c>
      <c r="D341" s="399" t="s">
        <v>1822</v>
      </c>
      <c r="E341" s="399" t="s">
        <v>919</v>
      </c>
      <c r="F341" s="399" t="s">
        <v>2352</v>
      </c>
      <c r="G341" s="399" t="s">
        <v>1237</v>
      </c>
      <c r="H341" s="399" t="s">
        <v>1237</v>
      </c>
      <c r="I341" s="399" t="s">
        <v>1237</v>
      </c>
      <c r="J341" s="399" t="s">
        <v>2337</v>
      </c>
      <c r="K341" s="788">
        <v>44743</v>
      </c>
      <c r="L341" s="399">
        <v>0</v>
      </c>
      <c r="M341" s="399">
        <v>0</v>
      </c>
      <c r="N341" s="399">
        <v>5.5609999999999999</v>
      </c>
      <c r="O341" s="399">
        <v>5.2273399999999999</v>
      </c>
      <c r="P341" s="399">
        <v>5.5609999999999999</v>
      </c>
      <c r="Q341" s="399">
        <v>5.2273399999999999</v>
      </c>
      <c r="R341" s="399"/>
      <c r="S341" s="399">
        <v>707.13</v>
      </c>
      <c r="T341" s="399">
        <v>119.97</v>
      </c>
      <c r="U341" s="399"/>
      <c r="V341" s="399">
        <v>4599.5030999999999</v>
      </c>
      <c r="W341" s="399">
        <v>4599.5030999999999</v>
      </c>
      <c r="X341" s="399">
        <v>4054.1358299999997</v>
      </c>
      <c r="Y341" s="399">
        <v>0</v>
      </c>
      <c r="Z341" s="399">
        <v>338.63642533393698</v>
      </c>
      <c r="AA341" s="399">
        <v>0</v>
      </c>
      <c r="AB341" s="399">
        <v>0</v>
      </c>
      <c r="AC341" s="399">
        <v>0</v>
      </c>
      <c r="AD341" s="399">
        <v>598.02555127046139</v>
      </c>
      <c r="AE341" s="399">
        <v>2832.5673575195528</v>
      </c>
      <c r="AF341" s="399">
        <v>667.17453855139479</v>
      </c>
      <c r="AG341" s="399">
        <v>0</v>
      </c>
      <c r="AH341" s="399">
        <v>0</v>
      </c>
      <c r="AI341" s="399">
        <v>0</v>
      </c>
      <c r="AJ341" s="399">
        <v>0</v>
      </c>
      <c r="AK341" s="399">
        <v>0</v>
      </c>
      <c r="AL341" s="399">
        <v>52.330266279151054</v>
      </c>
      <c r="AM341" s="399"/>
      <c r="AN341" s="399">
        <v>11.963372355461294</v>
      </c>
      <c r="AO341" s="399">
        <v>0</v>
      </c>
      <c r="AP341" s="399">
        <v>0</v>
      </c>
      <c r="AQ341" s="399">
        <v>0</v>
      </c>
      <c r="AR341" s="399">
        <v>0</v>
      </c>
      <c r="AS341" s="399">
        <v>0</v>
      </c>
      <c r="AT341" s="399">
        <v>0</v>
      </c>
      <c r="AU341" s="399">
        <v>0</v>
      </c>
      <c r="AV341" s="399">
        <v>0</v>
      </c>
      <c r="AW341" s="399">
        <v>0</v>
      </c>
      <c r="AX341" s="399">
        <v>0</v>
      </c>
      <c r="AY341" s="399">
        <v>0</v>
      </c>
      <c r="AZ341" s="399">
        <v>0</v>
      </c>
      <c r="BA341" s="399"/>
      <c r="BB341" s="399">
        <v>0</v>
      </c>
      <c r="BC341" s="399">
        <v>0</v>
      </c>
      <c r="BD341" s="399">
        <v>0</v>
      </c>
      <c r="BE341" s="399">
        <v>0</v>
      </c>
      <c r="BF341" s="399">
        <v>0</v>
      </c>
      <c r="BG341" s="399">
        <v>98.8323915092639</v>
      </c>
      <c r="BH341" s="399">
        <v>0</v>
      </c>
      <c r="BI341" s="399">
        <v>0</v>
      </c>
      <c r="BJ341" s="399">
        <v>0</v>
      </c>
      <c r="BK341" s="399">
        <v>780.54</v>
      </c>
      <c r="BL341" s="399">
        <v>7</v>
      </c>
      <c r="BM341" s="399"/>
      <c r="BN341" s="399"/>
      <c r="BO341" s="399"/>
      <c r="BP341" s="399"/>
      <c r="BQ341" s="399">
        <v>243.24814980000005</v>
      </c>
      <c r="BR341" s="399"/>
      <c r="BS341" s="399"/>
      <c r="BT341" s="399"/>
      <c r="BU341" s="399"/>
      <c r="BV341" s="399">
        <v>766.00693006065865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3812.8269</v>
      </c>
      <c r="CJ341" s="399">
        <v>-510.73601400000007</v>
      </c>
      <c r="CK341" s="399"/>
      <c r="CL341" s="399"/>
      <c r="CM341" s="399"/>
      <c r="CN341" s="399"/>
      <c r="CO341" s="399">
        <v>-545.3672700000003</v>
      </c>
      <c r="CP341" s="399">
        <v>0</v>
      </c>
      <c r="CQ341" s="399">
        <v>31</v>
      </c>
      <c r="CR341" s="399">
        <v>-42.031838553686384</v>
      </c>
      <c r="CS341" s="399">
        <v>0</v>
      </c>
      <c r="CT341" s="399">
        <v>0</v>
      </c>
      <c r="CU341" s="399">
        <v>0</v>
      </c>
      <c r="CV341" s="399">
        <v>0</v>
      </c>
      <c r="CW341" s="399">
        <v>0</v>
      </c>
      <c r="CX341" s="399">
        <v>0</v>
      </c>
      <c r="CY341" s="399">
        <v>0</v>
      </c>
      <c r="CZ341" s="399">
        <v>-3.1995442736598534</v>
      </c>
      <c r="DA341" s="399">
        <v>0</v>
      </c>
      <c r="DB341" s="399">
        <v>0</v>
      </c>
      <c r="DC341" s="399">
        <v>0</v>
      </c>
      <c r="DD341" s="399">
        <v>0</v>
      </c>
      <c r="DE341" s="399">
        <v>0</v>
      </c>
      <c r="DF341" s="399">
        <v>0</v>
      </c>
      <c r="DG341" s="399">
        <v>0</v>
      </c>
      <c r="DH341" s="399">
        <v>0</v>
      </c>
      <c r="DI341" s="399">
        <v>-33.383545878907341</v>
      </c>
      <c r="DJ341" s="399"/>
      <c r="DK341" s="399">
        <v>0</v>
      </c>
      <c r="DL341" s="399">
        <v>0</v>
      </c>
      <c r="DM341" s="399">
        <v>0</v>
      </c>
      <c r="DN341" s="399">
        <v>0</v>
      </c>
      <c r="DO341" s="399">
        <v>-4.459496566209296</v>
      </c>
      <c r="DP341" s="399">
        <v>-0.9892518349098598</v>
      </c>
      <c r="DQ341" s="399">
        <v>0</v>
      </c>
      <c r="DR341" s="399">
        <v>0</v>
      </c>
      <c r="DS341" s="399"/>
      <c r="DT341" s="399"/>
      <c r="DU341" s="399"/>
      <c r="DV341" s="399">
        <v>2832.5673575195528</v>
      </c>
      <c r="DW341" s="399">
        <v>0</v>
      </c>
      <c r="DX341" s="399">
        <v>0</v>
      </c>
      <c r="DY341" s="399">
        <v>-545.36727000000019</v>
      </c>
      <c r="DZ341" s="399">
        <v>0</v>
      </c>
      <c r="EA341" s="399">
        <v>0</v>
      </c>
      <c r="EB341" s="399">
        <v>0</v>
      </c>
      <c r="EC341" s="399">
        <v>-503.33013295812771</v>
      </c>
      <c r="ED341" s="399">
        <v>0</v>
      </c>
      <c r="EE341" s="399">
        <v>0</v>
      </c>
      <c r="EF341" s="399">
        <v>0</v>
      </c>
      <c r="EG341" s="399">
        <v>0</v>
      </c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>
        <v>0</v>
      </c>
      <c r="EN341" s="399">
        <v>0</v>
      </c>
      <c r="EO341" s="399">
        <v>0</v>
      </c>
      <c r="EP341" s="399">
        <v>0</v>
      </c>
      <c r="EQ341" s="399">
        <v>0</v>
      </c>
      <c r="ER341" s="399">
        <v>0</v>
      </c>
      <c r="ES341" s="399">
        <v>0</v>
      </c>
      <c r="ET341" s="399">
        <v>0</v>
      </c>
      <c r="EU341" s="399">
        <v>0</v>
      </c>
      <c r="EV341" s="399">
        <v>229</v>
      </c>
      <c r="EW341" s="399">
        <v>0</v>
      </c>
      <c r="EX341" s="399">
        <v>0</v>
      </c>
      <c r="EY341" s="399">
        <v>0</v>
      </c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340</v>
      </c>
      <c r="B342" s="399" t="s">
        <v>954</v>
      </c>
      <c r="C342" s="399" t="s">
        <v>2344</v>
      </c>
      <c r="D342" s="399" t="s">
        <v>533</v>
      </c>
      <c r="E342" s="399" t="s">
        <v>919</v>
      </c>
      <c r="F342" s="399" t="s">
        <v>2352</v>
      </c>
      <c r="G342" s="399" t="s">
        <v>1237</v>
      </c>
      <c r="H342" s="399" t="s">
        <v>1237</v>
      </c>
      <c r="I342" s="399" t="s">
        <v>891</v>
      </c>
      <c r="J342" s="399" t="s">
        <v>2337</v>
      </c>
      <c r="K342" s="788">
        <v>44743</v>
      </c>
      <c r="L342" s="399">
        <v>0</v>
      </c>
      <c r="M342" s="399">
        <v>0</v>
      </c>
      <c r="N342" s="399">
        <v>4.5410000000000004</v>
      </c>
      <c r="O342" s="399">
        <v>4.2685399999999998</v>
      </c>
      <c r="P342" s="399">
        <v>4.5410000000000004</v>
      </c>
      <c r="Q342" s="399">
        <v>4.2685399999999998</v>
      </c>
      <c r="R342" s="399"/>
      <c r="S342" s="399">
        <v>3312.96</v>
      </c>
      <c r="T342" s="399">
        <v>119.97</v>
      </c>
      <c r="U342" s="399"/>
      <c r="V342" s="399">
        <v>15588.935130000002</v>
      </c>
      <c r="W342" s="399">
        <v>15588.935130000002</v>
      </c>
      <c r="X342" s="399">
        <v>13531.317210000001</v>
      </c>
      <c r="Y342" s="399">
        <v>0</v>
      </c>
      <c r="Z342" s="399">
        <v>240.57557390289952</v>
      </c>
      <c r="AA342" s="399">
        <v>0</v>
      </c>
      <c r="AB342" s="399">
        <v>0</v>
      </c>
      <c r="AC342" s="399">
        <v>0</v>
      </c>
      <c r="AD342" s="399">
        <v>3395.0287193915015</v>
      </c>
      <c r="AE342" s="399">
        <v>11321.579472105361</v>
      </c>
      <c r="AF342" s="399">
        <v>544.80121912639527</v>
      </c>
      <c r="AG342" s="399">
        <v>0</v>
      </c>
      <c r="AH342" s="399">
        <v>0</v>
      </c>
      <c r="AI342" s="399">
        <v>0</v>
      </c>
      <c r="AJ342" s="399">
        <v>0</v>
      </c>
      <c r="AK342" s="399">
        <v>0</v>
      </c>
      <c r="AL342" s="399">
        <v>42.73183585211742</v>
      </c>
      <c r="AM342" s="399"/>
      <c r="AN342" s="399">
        <v>3.817763978182819</v>
      </c>
      <c r="AO342" s="399">
        <v>0</v>
      </c>
      <c r="AP342" s="399">
        <v>0</v>
      </c>
      <c r="AQ342" s="399">
        <v>0</v>
      </c>
      <c r="AR342" s="399">
        <v>0</v>
      </c>
      <c r="AS342" s="399">
        <v>0</v>
      </c>
      <c r="AT342" s="399">
        <v>0</v>
      </c>
      <c r="AU342" s="399">
        <v>0</v>
      </c>
      <c r="AV342" s="399">
        <v>0</v>
      </c>
      <c r="AW342" s="399">
        <v>0</v>
      </c>
      <c r="AX342" s="399">
        <v>0</v>
      </c>
      <c r="AY342" s="399">
        <v>0</v>
      </c>
      <c r="AZ342" s="399">
        <v>0</v>
      </c>
      <c r="BA342" s="399"/>
      <c r="BB342" s="399">
        <v>0</v>
      </c>
      <c r="BC342" s="399">
        <v>0</v>
      </c>
      <c r="BD342" s="399">
        <v>0</v>
      </c>
      <c r="BE342" s="399">
        <v>0</v>
      </c>
      <c r="BF342" s="399">
        <v>0</v>
      </c>
      <c r="BG342" s="399">
        <v>40.43237106570399</v>
      </c>
      <c r="BH342" s="399">
        <v>0</v>
      </c>
      <c r="BI342" s="399">
        <v>0</v>
      </c>
      <c r="BJ342" s="399">
        <v>0</v>
      </c>
      <c r="BK342" s="399">
        <v>0</v>
      </c>
      <c r="BL342" s="399">
        <v>0</v>
      </c>
      <c r="BM342" s="399"/>
      <c r="BN342" s="399"/>
      <c r="BO342" s="399"/>
      <c r="BP342" s="399"/>
      <c r="BQ342" s="399">
        <v>811.87903260000178</v>
      </c>
      <c r="BR342" s="399"/>
      <c r="BS342" s="399"/>
      <c r="BT342" s="399"/>
      <c r="BU342" s="399"/>
      <c r="BV342" s="399">
        <v>585.2335901920992</v>
      </c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>
        <v>12723.788699999999</v>
      </c>
      <c r="CJ342" s="399">
        <v>-1929.8403222000015</v>
      </c>
      <c r="CK342" s="399"/>
      <c r="CL342" s="399"/>
      <c r="CM342" s="399"/>
      <c r="CN342" s="399"/>
      <c r="CO342" s="399">
        <v>-2057.6179199999997</v>
      </c>
      <c r="CP342" s="399">
        <v>0</v>
      </c>
      <c r="CQ342" s="399">
        <v>31</v>
      </c>
      <c r="CR342" s="399">
        <v>-45.837725061584933</v>
      </c>
      <c r="CS342" s="399">
        <v>0</v>
      </c>
      <c r="CT342" s="399">
        <v>0</v>
      </c>
      <c r="CU342" s="399">
        <v>0</v>
      </c>
      <c r="CV342" s="399">
        <v>0</v>
      </c>
      <c r="CW342" s="399">
        <v>0</v>
      </c>
      <c r="CX342" s="399">
        <v>0</v>
      </c>
      <c r="CY342" s="399">
        <v>0</v>
      </c>
      <c r="CZ342" s="399">
        <v>-18.16401435519083</v>
      </c>
      <c r="DA342" s="399">
        <v>0</v>
      </c>
      <c r="DB342" s="399">
        <v>0</v>
      </c>
      <c r="DC342" s="399">
        <v>0</v>
      </c>
      <c r="DD342" s="399">
        <v>0</v>
      </c>
      <c r="DE342" s="399">
        <v>0</v>
      </c>
      <c r="DF342" s="399">
        <v>0</v>
      </c>
      <c r="DG342" s="399">
        <v>0</v>
      </c>
      <c r="DH342" s="399">
        <v>0</v>
      </c>
      <c r="DI342" s="399">
        <v>-23.716485020216112</v>
      </c>
      <c r="DJ342" s="399"/>
      <c r="DK342" s="399">
        <v>0</v>
      </c>
      <c r="DL342" s="399">
        <v>0</v>
      </c>
      <c r="DM342" s="399">
        <v>0</v>
      </c>
      <c r="DN342" s="399">
        <v>0</v>
      </c>
      <c r="DO342" s="399">
        <v>-3.6415345993807691</v>
      </c>
      <c r="DP342" s="399">
        <v>-0.31569108679844593</v>
      </c>
      <c r="DQ342" s="399">
        <v>0</v>
      </c>
      <c r="DR342" s="399">
        <v>0</v>
      </c>
      <c r="DS342" s="399"/>
      <c r="DT342" s="399"/>
      <c r="DU342" s="399"/>
      <c r="DV342" s="399">
        <v>11321.579472105361</v>
      </c>
      <c r="DW342" s="399">
        <v>0</v>
      </c>
      <c r="DX342" s="399">
        <v>0</v>
      </c>
      <c r="DY342" s="399">
        <v>-2057.6179200000006</v>
      </c>
      <c r="DZ342" s="399">
        <v>0</v>
      </c>
      <c r="EA342" s="399">
        <v>0</v>
      </c>
      <c r="EB342" s="399">
        <v>0</v>
      </c>
      <c r="EC342" s="399">
        <v>-2011.7763787198583</v>
      </c>
      <c r="ED342" s="399">
        <v>0</v>
      </c>
      <c r="EE342" s="399">
        <v>0</v>
      </c>
      <c r="EF342" s="399">
        <v>0</v>
      </c>
      <c r="EG342" s="399">
        <v>0</v>
      </c>
      <c r="EH342" s="399">
        <v>0</v>
      </c>
      <c r="EI342" s="399">
        <v>0</v>
      </c>
      <c r="EJ342" s="399">
        <v>0</v>
      </c>
      <c r="EK342" s="399">
        <v>0</v>
      </c>
      <c r="EL342" s="399">
        <v>0</v>
      </c>
      <c r="EM342" s="399">
        <v>0</v>
      </c>
      <c r="EN342" s="399">
        <v>0</v>
      </c>
      <c r="EO342" s="399">
        <v>0</v>
      </c>
      <c r="EP342" s="399">
        <v>0</v>
      </c>
      <c r="EQ342" s="399">
        <v>0</v>
      </c>
      <c r="ER342" s="399">
        <v>0</v>
      </c>
      <c r="ES342" s="399">
        <v>0</v>
      </c>
      <c r="ET342" s="399">
        <v>0</v>
      </c>
      <c r="EU342" s="399">
        <v>0</v>
      </c>
      <c r="EV342" s="399">
        <v>229</v>
      </c>
      <c r="EW342" s="399">
        <v>0</v>
      </c>
      <c r="EX342" s="399">
        <v>0</v>
      </c>
      <c r="EY342" s="399">
        <v>0</v>
      </c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341</v>
      </c>
      <c r="B343" s="399" t="s">
        <v>954</v>
      </c>
      <c r="C343" s="399" t="s">
        <v>2344</v>
      </c>
      <c r="D343" s="399" t="s">
        <v>533</v>
      </c>
      <c r="E343" s="399" t="s">
        <v>919</v>
      </c>
      <c r="F343" s="399" t="s">
        <v>2352</v>
      </c>
      <c r="G343" s="399" t="s">
        <v>1237</v>
      </c>
      <c r="H343" s="399" t="s">
        <v>1237</v>
      </c>
      <c r="I343" s="399" t="s">
        <v>2322</v>
      </c>
      <c r="J343" s="399" t="s">
        <v>2337</v>
      </c>
      <c r="K343" s="788">
        <v>44743</v>
      </c>
      <c r="L343" s="399">
        <v>0</v>
      </c>
      <c r="M343" s="399">
        <v>0</v>
      </c>
      <c r="N343" s="399">
        <v>39.697000000000003</v>
      </c>
      <c r="O343" s="399">
        <v>37.315179999999998</v>
      </c>
      <c r="P343" s="399">
        <v>39.697000000000003</v>
      </c>
      <c r="Q343" s="399">
        <v>37.315179999999998</v>
      </c>
      <c r="R343" s="399"/>
      <c r="S343" s="399">
        <v>72.13</v>
      </c>
      <c r="T343" s="399">
        <v>119.97</v>
      </c>
      <c r="U343" s="399"/>
      <c r="V343" s="399">
        <v>7625.7937000000002</v>
      </c>
      <c r="W343" s="399">
        <v>7625.7937000000002</v>
      </c>
      <c r="X343" s="399">
        <v>7384.0389700000005</v>
      </c>
      <c r="Y343" s="399">
        <v>0</v>
      </c>
      <c r="Z343" s="399">
        <v>2103.0893101130591</v>
      </c>
      <c r="AA343" s="399">
        <v>0</v>
      </c>
      <c r="AB343" s="399">
        <v>0</v>
      </c>
      <c r="AC343" s="399">
        <v>0</v>
      </c>
      <c r="AD343" s="399">
        <v>0</v>
      </c>
      <c r="AE343" s="399">
        <v>0</v>
      </c>
      <c r="AF343" s="399">
        <v>4762.6016286413806</v>
      </c>
      <c r="AG343" s="399">
        <v>0</v>
      </c>
      <c r="AH343" s="399">
        <v>0</v>
      </c>
      <c r="AI343" s="399">
        <v>0</v>
      </c>
      <c r="AJ343" s="399">
        <v>0</v>
      </c>
      <c r="AK343" s="399">
        <v>0</v>
      </c>
      <c r="AL343" s="399">
        <v>373.5577379038769</v>
      </c>
      <c r="AM343" s="399"/>
      <c r="AN343" s="399">
        <v>33.374537908373348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353.45603043277941</v>
      </c>
      <c r="BH343" s="399">
        <v>0</v>
      </c>
      <c r="BI343" s="399">
        <v>0</v>
      </c>
      <c r="BJ343" s="399">
        <v>0</v>
      </c>
      <c r="BK343" s="399">
        <v>0</v>
      </c>
      <c r="BL343" s="399">
        <v>0</v>
      </c>
      <c r="BM343" s="399"/>
      <c r="BN343" s="399"/>
      <c r="BO343" s="399"/>
      <c r="BP343" s="399"/>
      <c r="BQ343" s="399">
        <v>443.04233820000093</v>
      </c>
      <c r="BR343" s="399"/>
      <c r="BS343" s="399"/>
      <c r="BT343" s="399"/>
      <c r="BU343" s="399"/>
      <c r="BV343" s="399">
        <v>5116.0576590741603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6941.8932000000004</v>
      </c>
      <c r="CJ343" s="399">
        <v>-226.38287800000035</v>
      </c>
      <c r="CK343" s="399"/>
      <c r="CL343" s="399"/>
      <c r="CM343" s="399"/>
      <c r="CN343" s="399"/>
      <c r="CO343" s="399">
        <v>-241.7547299999996</v>
      </c>
      <c r="CP343" s="399">
        <v>0</v>
      </c>
      <c r="CQ343" s="399">
        <v>31</v>
      </c>
      <c r="CR343" s="399">
        <v>-241.92100724769261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0</v>
      </c>
      <c r="DA343" s="399">
        <v>0</v>
      </c>
      <c r="DB343" s="399">
        <v>0</v>
      </c>
      <c r="DC343" s="399">
        <v>0</v>
      </c>
      <c r="DD343" s="399">
        <v>0</v>
      </c>
      <c r="DE343" s="399">
        <v>0</v>
      </c>
      <c r="DF343" s="399">
        <v>0</v>
      </c>
      <c r="DG343" s="399">
        <v>0</v>
      </c>
      <c r="DH343" s="399">
        <v>0</v>
      </c>
      <c r="DI343" s="399">
        <v>-207.32730804834137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-31.833957056070915</v>
      </c>
      <c r="DP343" s="399">
        <v>-2.7597421432807572</v>
      </c>
      <c r="DQ343" s="399">
        <v>0</v>
      </c>
      <c r="DR343" s="399">
        <v>0</v>
      </c>
      <c r="DS343" s="399"/>
      <c r="DT343" s="399"/>
      <c r="DU343" s="399"/>
      <c r="DV343" s="399">
        <v>0</v>
      </c>
      <c r="DW343" s="399">
        <v>0</v>
      </c>
      <c r="DX343" s="399">
        <v>0</v>
      </c>
      <c r="DY343" s="399">
        <v>-241.75472999999965</v>
      </c>
      <c r="DZ343" s="399">
        <v>0</v>
      </c>
      <c r="EA343" s="399">
        <v>0</v>
      </c>
      <c r="EB343" s="399">
        <v>0</v>
      </c>
      <c r="EC343" s="399">
        <v>0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0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229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342</v>
      </c>
      <c r="B344" s="399" t="s">
        <v>954</v>
      </c>
      <c r="C344" s="399" t="s">
        <v>2344</v>
      </c>
      <c r="D344" s="399" t="s">
        <v>533</v>
      </c>
      <c r="E344" s="399" t="s">
        <v>919</v>
      </c>
      <c r="F344" s="399" t="s">
        <v>2352</v>
      </c>
      <c r="G344" s="399" t="s">
        <v>1237</v>
      </c>
      <c r="H344" s="399" t="s">
        <v>1237</v>
      </c>
      <c r="I344" s="399" t="s">
        <v>1237</v>
      </c>
      <c r="J344" s="399" t="s">
        <v>2337</v>
      </c>
      <c r="K344" s="788">
        <v>44743</v>
      </c>
      <c r="L344" s="399">
        <v>100</v>
      </c>
      <c r="M344" s="399">
        <v>94</v>
      </c>
      <c r="N344" s="399">
        <v>0</v>
      </c>
      <c r="O344" s="399">
        <v>0</v>
      </c>
      <c r="P344" s="399">
        <v>0</v>
      </c>
      <c r="Q344" s="399">
        <v>0</v>
      </c>
      <c r="R344" s="399">
        <v>46.29</v>
      </c>
      <c r="S344" s="399"/>
      <c r="T344" s="399"/>
      <c r="U344" s="399">
        <v>4629</v>
      </c>
      <c r="V344" s="399"/>
      <c r="W344" s="399">
        <v>4629</v>
      </c>
      <c r="X344" s="399">
        <v>4115</v>
      </c>
      <c r="Y344" s="399">
        <v>0</v>
      </c>
      <c r="Z344" s="399">
        <v>0</v>
      </c>
      <c r="AA344" s="399">
        <v>0</v>
      </c>
      <c r="AB344" s="399">
        <v>0</v>
      </c>
      <c r="AC344" s="399">
        <v>0</v>
      </c>
      <c r="AD344" s="399">
        <v>1791.3012373515901</v>
      </c>
      <c r="AE344" s="399">
        <v>2837.3428309380402</v>
      </c>
      <c r="AF344" s="399"/>
      <c r="AG344" s="399"/>
      <c r="AH344" s="399"/>
      <c r="AI344" s="399">
        <v>0</v>
      </c>
      <c r="AJ344" s="399">
        <v>0</v>
      </c>
      <c r="AK344" s="399">
        <v>0</v>
      </c>
      <c r="AL344" s="399">
        <v>0</v>
      </c>
      <c r="AM344" s="399"/>
      <c r="AN344" s="399">
        <v>0</v>
      </c>
      <c r="AO344" s="399">
        <v>0</v>
      </c>
      <c r="AP344" s="399">
        <v>0</v>
      </c>
      <c r="AQ344" s="399">
        <v>0</v>
      </c>
      <c r="AR344" s="399">
        <v>0</v>
      </c>
      <c r="AS344" s="399"/>
      <c r="AT344" s="399"/>
      <c r="AU344" s="399">
        <v>0</v>
      </c>
      <c r="AV344" s="399">
        <v>0</v>
      </c>
      <c r="AW344" s="399">
        <v>0</v>
      </c>
      <c r="AX344" s="399"/>
      <c r="AY344" s="399"/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/>
      <c r="BG344" s="399">
        <v>0</v>
      </c>
      <c r="BH344" s="399">
        <v>0</v>
      </c>
      <c r="BI344" s="399">
        <v>0</v>
      </c>
      <c r="BJ344" s="399">
        <v>0</v>
      </c>
      <c r="BK344" s="399">
        <v>4819.1000000000004</v>
      </c>
      <c r="BL344" s="399">
        <v>1</v>
      </c>
      <c r="BM344" s="399"/>
      <c r="BN344" s="399"/>
      <c r="BO344" s="399"/>
      <c r="BP344" s="399"/>
      <c r="BQ344" s="399">
        <v>246.89999999999998</v>
      </c>
      <c r="BR344" s="399"/>
      <c r="BS344" s="399"/>
      <c r="BT344" s="399"/>
      <c r="BU344" s="399"/>
      <c r="BV344" s="399">
        <v>0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3868.1</v>
      </c>
      <c r="CJ344" s="399">
        <v>-483.19000000000096</v>
      </c>
      <c r="CK344" s="399"/>
      <c r="CL344" s="399"/>
      <c r="CM344" s="399"/>
      <c r="CN344" s="399"/>
      <c r="CO344" s="399">
        <v>-514</v>
      </c>
      <c r="CP344" s="399">
        <v>0</v>
      </c>
      <c r="CQ344" s="399">
        <v>31</v>
      </c>
      <c r="CR344" s="399">
        <v>-9.5837838436800666</v>
      </c>
      <c r="CS344" s="399">
        <v>0</v>
      </c>
      <c r="CT344" s="399">
        <v>0</v>
      </c>
      <c r="CU344" s="399">
        <v>0</v>
      </c>
      <c r="CV344" s="399">
        <v>0</v>
      </c>
      <c r="CW344" s="399"/>
      <c r="CX344" s="399"/>
      <c r="CY344" s="399"/>
      <c r="CZ344" s="399">
        <v>-9.5837838436800666</v>
      </c>
      <c r="DA344" s="399">
        <v>0</v>
      </c>
      <c r="DB344" s="399">
        <v>0</v>
      </c>
      <c r="DC344" s="399"/>
      <c r="DD344" s="399"/>
      <c r="DE344" s="399">
        <v>0</v>
      </c>
      <c r="DF344" s="399">
        <v>0</v>
      </c>
      <c r="DG344" s="399">
        <v>0</v>
      </c>
      <c r="DH344" s="399">
        <v>0</v>
      </c>
      <c r="DI344" s="399">
        <v>0</v>
      </c>
      <c r="DJ344" s="399"/>
      <c r="DK344" s="399">
        <v>0</v>
      </c>
      <c r="DL344" s="399">
        <v>0</v>
      </c>
      <c r="DM344" s="399"/>
      <c r="DN344" s="399">
        <v>0</v>
      </c>
      <c r="DO344" s="399">
        <v>0</v>
      </c>
      <c r="DP344" s="399">
        <v>0</v>
      </c>
      <c r="DQ344" s="399">
        <v>0</v>
      </c>
      <c r="DR344" s="399">
        <v>0</v>
      </c>
      <c r="DS344" s="399"/>
      <c r="DT344" s="399"/>
      <c r="DU344" s="399">
        <v>2837.3428309380402</v>
      </c>
      <c r="DV344" s="399"/>
      <c r="DW344" s="399">
        <v>0</v>
      </c>
      <c r="DX344" s="399">
        <v>0</v>
      </c>
      <c r="DY344" s="399">
        <v>-514</v>
      </c>
      <c r="DZ344" s="399"/>
      <c r="EA344" s="399">
        <v>0</v>
      </c>
      <c r="EB344" s="399"/>
      <c r="EC344" s="399">
        <v>-504.17870577822032</v>
      </c>
      <c r="ED344" s="399"/>
      <c r="EE344" s="399">
        <v>0</v>
      </c>
      <c r="EF344" s="399">
        <v>0</v>
      </c>
      <c r="EG344" s="399"/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/>
      <c r="EN344" s="399"/>
      <c r="EO344" s="399">
        <v>0</v>
      </c>
      <c r="EP344" s="399">
        <v>0</v>
      </c>
      <c r="EQ344" s="399"/>
      <c r="ER344" s="399">
        <v>0</v>
      </c>
      <c r="ES344" s="399"/>
      <c r="ET344" s="399">
        <v>0</v>
      </c>
      <c r="EU344" s="399"/>
      <c r="EV344" s="399">
        <v>229</v>
      </c>
      <c r="EW344" s="399"/>
      <c r="EX344" s="399"/>
      <c r="EY344" s="399"/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1767">
        <v>343</v>
      </c>
      <c r="B345" s="1767" t="s">
        <v>2355</v>
      </c>
      <c r="C345" s="1767" t="s">
        <v>2336</v>
      </c>
      <c r="D345" s="1767" t="s">
        <v>1819</v>
      </c>
      <c r="E345" s="1767" t="s">
        <v>887</v>
      </c>
      <c r="F345" s="1767" t="s">
        <v>887</v>
      </c>
      <c r="G345" s="1767" t="s">
        <v>1237</v>
      </c>
      <c r="H345" s="1767" t="s">
        <v>1237</v>
      </c>
      <c r="I345" s="1767" t="s">
        <v>1237</v>
      </c>
      <c r="J345" s="1767" t="s">
        <v>2337</v>
      </c>
      <c r="K345" s="1768">
        <v>44774</v>
      </c>
      <c r="L345" s="1767">
        <v>0</v>
      </c>
      <c r="M345" s="1767">
        <v>0</v>
      </c>
      <c r="N345" s="1767">
        <v>581.66600000000005</v>
      </c>
      <c r="O345" s="1767">
        <v>581.66600000000005</v>
      </c>
      <c r="P345" s="1767">
        <v>581.66600000000005</v>
      </c>
      <c r="Q345" s="1767">
        <v>581.66600000000005</v>
      </c>
      <c r="R345" s="1767"/>
      <c r="S345" s="1767">
        <v>707.13</v>
      </c>
      <c r="T345" s="1767">
        <v>119.97</v>
      </c>
      <c r="U345" s="1767"/>
      <c r="V345" s="1767">
        <v>481095.94860000006</v>
      </c>
      <c r="W345" s="1767">
        <v>481095.94860000006</v>
      </c>
      <c r="X345" s="1767">
        <v>424051.96398</v>
      </c>
      <c r="Y345" s="1767">
        <v>0</v>
      </c>
      <c r="Z345" s="1767">
        <v>35420.481024687972</v>
      </c>
      <c r="AA345" s="1767">
        <v>0</v>
      </c>
      <c r="AB345" s="1767">
        <v>0</v>
      </c>
      <c r="AC345" s="1767">
        <v>0</v>
      </c>
      <c r="AD345" s="1767">
        <v>62551.902590412559</v>
      </c>
      <c r="AE345" s="1767">
        <v>296279.10889749479</v>
      </c>
      <c r="AF345" s="1767">
        <v>69784.70511437433</v>
      </c>
      <c r="AG345" s="1767">
        <v>0</v>
      </c>
      <c r="AH345" s="1767">
        <v>0</v>
      </c>
      <c r="AI345" s="1767">
        <v>0</v>
      </c>
      <c r="AJ345" s="1767">
        <v>0</v>
      </c>
      <c r="AK345" s="1767">
        <v>0</v>
      </c>
      <c r="AL345" s="1767">
        <v>5473.608463500932</v>
      </c>
      <c r="AM345" s="1767"/>
      <c r="AN345" s="1767">
        <v>1251.3373394194839</v>
      </c>
      <c r="AO345" s="1767">
        <v>0</v>
      </c>
      <c r="AP345" s="1767">
        <v>0</v>
      </c>
      <c r="AQ345" s="1767">
        <v>0</v>
      </c>
      <c r="AR345" s="1767">
        <v>0</v>
      </c>
      <c r="AS345" s="1767">
        <v>0</v>
      </c>
      <c r="AT345" s="1767">
        <v>0</v>
      </c>
      <c r="AU345" s="1767">
        <v>0</v>
      </c>
      <c r="AV345" s="1767">
        <v>0</v>
      </c>
      <c r="AW345" s="1767">
        <v>0</v>
      </c>
      <c r="AX345" s="1767">
        <v>0</v>
      </c>
      <c r="AY345" s="1767">
        <v>0</v>
      </c>
      <c r="AZ345" s="1767">
        <v>0</v>
      </c>
      <c r="BA345" s="1767"/>
      <c r="BB345" s="1767">
        <v>0</v>
      </c>
      <c r="BC345" s="1767">
        <v>0</v>
      </c>
      <c r="BD345" s="1767">
        <v>0</v>
      </c>
      <c r="BE345" s="1767">
        <v>0</v>
      </c>
      <c r="BF345" s="1767">
        <v>0</v>
      </c>
      <c r="BG345" s="1767">
        <v>10337.608674631811</v>
      </c>
      <c r="BH345" s="1767">
        <v>0</v>
      </c>
      <c r="BI345" s="1767">
        <v>0</v>
      </c>
      <c r="BJ345" s="1767">
        <v>0</v>
      </c>
      <c r="BK345" s="1767">
        <v>69710.77</v>
      </c>
      <c r="BL345" s="1767">
        <v>3095</v>
      </c>
      <c r="BM345" s="1767"/>
      <c r="BN345" s="1767"/>
      <c r="BO345" s="1767"/>
      <c r="BP345" s="1767"/>
      <c r="BQ345" s="1767"/>
      <c r="BR345" s="1767"/>
      <c r="BS345" s="1767"/>
      <c r="BT345" s="1767"/>
      <c r="BU345" s="1767"/>
      <c r="BV345" s="1767">
        <v>80122.313789006148</v>
      </c>
      <c r="BW345" s="1767"/>
      <c r="BX345" s="1767"/>
      <c r="BY345" s="1767"/>
      <c r="BZ345" s="1767"/>
      <c r="CA345" s="1767"/>
      <c r="CB345" s="1767"/>
      <c r="CC345" s="1767"/>
      <c r="CD345" s="1767"/>
      <c r="CE345" s="1767"/>
      <c r="CF345" s="1767"/>
      <c r="CG345" s="1767"/>
      <c r="CH345" s="1767"/>
      <c r="CI345" s="1767">
        <v>424054.88009999995</v>
      </c>
      <c r="CJ345" s="1767">
        <v>-57041.098500000138</v>
      </c>
      <c r="CK345" s="1767"/>
      <c r="CL345" s="1767"/>
      <c r="CM345" s="1767"/>
      <c r="CN345" s="1767"/>
      <c r="CO345" s="1767">
        <v>-57043.984620000032</v>
      </c>
      <c r="CP345" s="1767">
        <v>0</v>
      </c>
      <c r="CQ345" s="1767">
        <v>31</v>
      </c>
      <c r="CR345" s="1767">
        <v>-4396.4199611883669</v>
      </c>
      <c r="CS345" s="1767">
        <v>0</v>
      </c>
      <c r="CT345" s="1767">
        <v>0</v>
      </c>
      <c r="CU345" s="1767">
        <v>0</v>
      </c>
      <c r="CV345" s="1767">
        <v>0</v>
      </c>
      <c r="CW345" s="1767">
        <v>0</v>
      </c>
      <c r="CX345" s="1767">
        <v>0</v>
      </c>
      <c r="CY345" s="1767">
        <v>0</v>
      </c>
      <c r="CZ345" s="1767">
        <v>-334.66393085463642</v>
      </c>
      <c r="DA345" s="1767">
        <v>0</v>
      </c>
      <c r="DB345" s="1767">
        <v>0</v>
      </c>
      <c r="DC345" s="1767">
        <v>0</v>
      </c>
      <c r="DD345" s="1767">
        <v>0</v>
      </c>
      <c r="DE345" s="1767">
        <v>0</v>
      </c>
      <c r="DF345" s="1767">
        <v>0</v>
      </c>
      <c r="DG345" s="1767">
        <v>0</v>
      </c>
      <c r="DH345" s="1767">
        <v>0</v>
      </c>
      <c r="DI345" s="1767">
        <v>-3491.83125286828</v>
      </c>
      <c r="DJ345" s="1767"/>
      <c r="DK345" s="1767">
        <v>0</v>
      </c>
      <c r="DL345" s="1767">
        <v>0</v>
      </c>
      <c r="DM345" s="1767">
        <v>0</v>
      </c>
      <c r="DN345" s="1767">
        <v>0</v>
      </c>
      <c r="DO345" s="1767">
        <v>-466.45163274243896</v>
      </c>
      <c r="DP345" s="1767">
        <v>-103.47314472301355</v>
      </c>
      <c r="DQ345" s="1767">
        <v>0</v>
      </c>
      <c r="DR345" s="1767">
        <v>0</v>
      </c>
      <c r="DS345" s="1767"/>
      <c r="DT345" s="1767"/>
      <c r="DU345" s="1767"/>
      <c r="DV345" s="1767">
        <v>296279.10889749479</v>
      </c>
      <c r="DW345" s="1767">
        <v>0</v>
      </c>
      <c r="DX345" s="1767">
        <v>0</v>
      </c>
      <c r="DY345" s="1767">
        <v>-57043.984620000061</v>
      </c>
      <c r="DZ345" s="1767">
        <v>0</v>
      </c>
      <c r="EA345" s="1767">
        <v>0</v>
      </c>
      <c r="EB345" s="1767">
        <v>0</v>
      </c>
      <c r="EC345" s="1767">
        <v>-52647.010450858215</v>
      </c>
      <c r="ED345" s="1767">
        <v>0</v>
      </c>
      <c r="EE345" s="1767">
        <v>0</v>
      </c>
      <c r="EF345" s="1767">
        <v>0</v>
      </c>
      <c r="EG345" s="1767">
        <v>0</v>
      </c>
      <c r="EH345" s="1767">
        <v>0</v>
      </c>
      <c r="EI345" s="1767">
        <v>0</v>
      </c>
      <c r="EJ345" s="1767">
        <v>0</v>
      </c>
      <c r="EK345" s="1767">
        <v>0</v>
      </c>
      <c r="EL345" s="1767">
        <v>0</v>
      </c>
      <c r="EM345" s="1767">
        <v>0</v>
      </c>
      <c r="EN345" s="1767">
        <v>0</v>
      </c>
      <c r="EO345" s="1767">
        <v>0</v>
      </c>
      <c r="EP345" s="1767">
        <v>0</v>
      </c>
      <c r="EQ345" s="1767">
        <v>0</v>
      </c>
      <c r="ER345" s="1767">
        <v>0</v>
      </c>
      <c r="ES345" s="1767">
        <v>0</v>
      </c>
      <c r="ET345" s="1767">
        <v>0</v>
      </c>
      <c r="EU345" s="1767">
        <v>0</v>
      </c>
      <c r="EV345" s="1767">
        <v>229</v>
      </c>
      <c r="EW345" s="1767">
        <v>0</v>
      </c>
      <c r="EX345" s="1767">
        <v>0</v>
      </c>
      <c r="EY345" s="1767">
        <v>0</v>
      </c>
      <c r="EZ345" s="1767"/>
      <c r="FA345" s="1767">
        <v>0</v>
      </c>
      <c r="FB345" s="1767"/>
      <c r="FC345" s="1767"/>
      <c r="FD345" s="1767"/>
      <c r="FE345" s="1767"/>
      <c r="FF345" s="1767">
        <v>0</v>
      </c>
      <c r="FG345" s="1767">
        <v>0</v>
      </c>
      <c r="FH345" s="1767">
        <v>0</v>
      </c>
      <c r="FI345" s="1767">
        <v>0</v>
      </c>
    </row>
    <row r="346" spans="1:165">
      <c r="A346" s="1767">
        <v>344</v>
      </c>
      <c r="B346" s="1767" t="s">
        <v>2355</v>
      </c>
      <c r="C346" s="1767" t="s">
        <v>2336</v>
      </c>
      <c r="D346" s="1767" t="s">
        <v>1819</v>
      </c>
      <c r="E346" s="1767" t="s">
        <v>887</v>
      </c>
      <c r="F346" s="1767" t="s">
        <v>887</v>
      </c>
      <c r="G346" s="1767" t="s">
        <v>1237</v>
      </c>
      <c r="H346" s="1767" t="s">
        <v>1237</v>
      </c>
      <c r="I346" s="1767" t="s">
        <v>1237</v>
      </c>
      <c r="J346" s="1767" t="s">
        <v>2337</v>
      </c>
      <c r="K346" s="1768">
        <v>44774</v>
      </c>
      <c r="L346" s="1767">
        <v>0</v>
      </c>
      <c r="M346" s="1767">
        <v>0</v>
      </c>
      <c r="N346" s="1767">
        <v>-3.3650000000000002</v>
      </c>
      <c r="O346" s="1767">
        <v>-3.3650000000000002</v>
      </c>
      <c r="P346" s="1767">
        <v>-3.3650000000000002</v>
      </c>
      <c r="Q346" s="1767">
        <v>-3.3650000000000002</v>
      </c>
      <c r="R346" s="1767"/>
      <c r="S346" s="1767">
        <v>707.13</v>
      </c>
      <c r="T346" s="1767">
        <v>119.97</v>
      </c>
      <c r="U346" s="1767"/>
      <c r="V346" s="1767">
        <v>-2783.1915000000004</v>
      </c>
      <c r="W346" s="1767">
        <v>-2783.1915000000004</v>
      </c>
      <c r="X346" s="1767">
        <v>-2453.18595</v>
      </c>
      <c r="Y346" s="1767">
        <v>0</v>
      </c>
      <c r="Z346" s="1767">
        <v>-204.91126978038088</v>
      </c>
      <c r="AA346" s="1767">
        <v>0</v>
      </c>
      <c r="AB346" s="1767">
        <v>0</v>
      </c>
      <c r="AC346" s="1767">
        <v>0</v>
      </c>
      <c r="AD346" s="1767">
        <v>-361.86944434905644</v>
      </c>
      <c r="AE346" s="1767">
        <v>-1714.0063222537847</v>
      </c>
      <c r="AF346" s="1767">
        <v>-403.7119802599251</v>
      </c>
      <c r="AG346" s="1767">
        <v>0</v>
      </c>
      <c r="AH346" s="1767">
        <v>0</v>
      </c>
      <c r="AI346" s="1767">
        <v>0</v>
      </c>
      <c r="AJ346" s="1767">
        <v>0</v>
      </c>
      <c r="AK346" s="1767">
        <v>0</v>
      </c>
      <c r="AL346" s="1767">
        <v>-31.665410183302161</v>
      </c>
      <c r="AM346" s="1767"/>
      <c r="AN346" s="1767">
        <v>-7.2391202978110512</v>
      </c>
      <c r="AO346" s="1767">
        <v>0</v>
      </c>
      <c r="AP346" s="1767">
        <v>0</v>
      </c>
      <c r="AQ346" s="1767">
        <v>0</v>
      </c>
      <c r="AR346" s="1767">
        <v>0</v>
      </c>
      <c r="AS346" s="1767">
        <v>0</v>
      </c>
      <c r="AT346" s="1767">
        <v>0</v>
      </c>
      <c r="AU346" s="1767">
        <v>0</v>
      </c>
      <c r="AV346" s="1767">
        <v>0</v>
      </c>
      <c r="AW346" s="1767">
        <v>0</v>
      </c>
      <c r="AX346" s="1767">
        <v>0</v>
      </c>
      <c r="AY346" s="1767">
        <v>0</v>
      </c>
      <c r="AZ346" s="1767">
        <v>0</v>
      </c>
      <c r="BA346" s="1767"/>
      <c r="BB346" s="1767">
        <v>0</v>
      </c>
      <c r="BC346" s="1767">
        <v>0</v>
      </c>
      <c r="BD346" s="1767">
        <v>0</v>
      </c>
      <c r="BE346" s="1767">
        <v>0</v>
      </c>
      <c r="BF346" s="1767">
        <v>0</v>
      </c>
      <c r="BG346" s="1767">
        <v>-59.804171449140988</v>
      </c>
      <c r="BH346" s="1767">
        <v>0</v>
      </c>
      <c r="BI346" s="1767">
        <v>0</v>
      </c>
      <c r="BJ346" s="1767">
        <v>0</v>
      </c>
      <c r="BK346" s="1767">
        <v>-644.97</v>
      </c>
      <c r="BL346" s="1767">
        <v>0</v>
      </c>
      <c r="BM346" s="1767"/>
      <c r="BN346" s="1767"/>
      <c r="BO346" s="1767"/>
      <c r="BP346" s="1767"/>
      <c r="BQ346" s="1767"/>
      <c r="BR346" s="1767"/>
      <c r="BS346" s="1767"/>
      <c r="BT346" s="1767"/>
      <c r="BU346" s="1767"/>
      <c r="BV346" s="1767">
        <v>-463.51615170906609</v>
      </c>
      <c r="BW346" s="1767"/>
      <c r="BX346" s="1767"/>
      <c r="BY346" s="1767"/>
      <c r="BZ346" s="1767"/>
      <c r="CA346" s="1767"/>
      <c r="CB346" s="1767"/>
      <c r="CC346" s="1767"/>
      <c r="CD346" s="1767"/>
      <c r="CE346" s="1767"/>
      <c r="CF346" s="1767"/>
      <c r="CG346" s="1767"/>
      <c r="CH346" s="1767"/>
      <c r="CI346" s="1767">
        <v>-2456.8311000000003</v>
      </c>
      <c r="CJ346" s="1767">
        <v>326.33039999999937</v>
      </c>
      <c r="CK346" s="1767"/>
      <c r="CL346" s="1767"/>
      <c r="CM346" s="1767"/>
      <c r="CN346" s="1767"/>
      <c r="CO346" s="1767">
        <v>330.0055500000002</v>
      </c>
      <c r="CP346" s="1767">
        <v>0</v>
      </c>
      <c r="CQ346" s="1767">
        <v>31</v>
      </c>
      <c r="CR346" s="1767">
        <v>25.433759527630855</v>
      </c>
      <c r="CS346" s="1767">
        <v>0</v>
      </c>
      <c r="CT346" s="1767">
        <v>0</v>
      </c>
      <c r="CU346" s="1767">
        <v>0</v>
      </c>
      <c r="CV346" s="1767">
        <v>0</v>
      </c>
      <c r="CW346" s="1767">
        <v>0</v>
      </c>
      <c r="CX346" s="1767">
        <v>0</v>
      </c>
      <c r="CY346" s="1767">
        <v>0</v>
      </c>
      <c r="CZ346" s="1767">
        <v>1.9360666212669457</v>
      </c>
      <c r="DA346" s="1767">
        <v>0</v>
      </c>
      <c r="DB346" s="1767">
        <v>0</v>
      </c>
      <c r="DC346" s="1767">
        <v>0</v>
      </c>
      <c r="DD346" s="1767">
        <v>0</v>
      </c>
      <c r="DE346" s="1767">
        <v>0</v>
      </c>
      <c r="DF346" s="1767">
        <v>0</v>
      </c>
      <c r="DG346" s="1767">
        <v>0</v>
      </c>
      <c r="DH346" s="1767">
        <v>0</v>
      </c>
      <c r="DI346" s="1767">
        <v>20.200617134062782</v>
      </c>
      <c r="DJ346" s="1767"/>
      <c r="DK346" s="1767">
        <v>0</v>
      </c>
      <c r="DL346" s="1767">
        <v>0</v>
      </c>
      <c r="DM346" s="1767">
        <v>0</v>
      </c>
      <c r="DN346" s="1767">
        <v>0</v>
      </c>
      <c r="DO346" s="1767">
        <v>2.6984725670372782</v>
      </c>
      <c r="DP346" s="1767">
        <v>0.59860320526374355</v>
      </c>
      <c r="DQ346" s="1767">
        <v>0</v>
      </c>
      <c r="DR346" s="1767">
        <v>0</v>
      </c>
      <c r="DS346" s="1767"/>
      <c r="DT346" s="1767"/>
      <c r="DU346" s="1767"/>
      <c r="DV346" s="1767">
        <v>-1714.0063222537847</v>
      </c>
      <c r="DW346" s="1767">
        <v>0</v>
      </c>
      <c r="DX346" s="1767">
        <v>0</v>
      </c>
      <c r="DY346" s="1767">
        <v>330.00555000000031</v>
      </c>
      <c r="DZ346" s="1767">
        <v>0</v>
      </c>
      <c r="EA346" s="1767">
        <v>0</v>
      </c>
      <c r="EB346" s="1767">
        <v>0</v>
      </c>
      <c r="EC346" s="1767">
        <v>304.56858432010449</v>
      </c>
      <c r="ED346" s="1767">
        <v>0</v>
      </c>
      <c r="EE346" s="1767">
        <v>0</v>
      </c>
      <c r="EF346" s="1767">
        <v>0</v>
      </c>
      <c r="EG346" s="1767">
        <v>0</v>
      </c>
      <c r="EH346" s="1767">
        <v>0</v>
      </c>
      <c r="EI346" s="1767">
        <v>0</v>
      </c>
      <c r="EJ346" s="1767">
        <v>0</v>
      </c>
      <c r="EK346" s="1767">
        <v>0</v>
      </c>
      <c r="EL346" s="1767">
        <v>0</v>
      </c>
      <c r="EM346" s="1767">
        <v>0</v>
      </c>
      <c r="EN346" s="1767">
        <v>0</v>
      </c>
      <c r="EO346" s="1767">
        <v>0</v>
      </c>
      <c r="EP346" s="1767">
        <v>0</v>
      </c>
      <c r="EQ346" s="1767">
        <v>0</v>
      </c>
      <c r="ER346" s="1767">
        <v>0</v>
      </c>
      <c r="ES346" s="1767">
        <v>0</v>
      </c>
      <c r="ET346" s="1767">
        <v>0</v>
      </c>
      <c r="EU346" s="1767">
        <v>0</v>
      </c>
      <c r="EV346" s="1767">
        <v>229</v>
      </c>
      <c r="EW346" s="1767">
        <v>0</v>
      </c>
      <c r="EX346" s="1767">
        <v>0</v>
      </c>
      <c r="EY346" s="1767">
        <v>0</v>
      </c>
      <c r="EZ346" s="1767"/>
      <c r="FA346" s="1767">
        <v>0</v>
      </c>
      <c r="FB346" s="1767"/>
      <c r="FC346" s="1767"/>
      <c r="FD346" s="1767"/>
      <c r="FE346" s="1767"/>
      <c r="FF346" s="1767">
        <v>0</v>
      </c>
      <c r="FG346" s="1767">
        <v>0</v>
      </c>
      <c r="FH346" s="1767">
        <v>0</v>
      </c>
      <c r="FI346" s="1767">
        <v>0</v>
      </c>
    </row>
    <row r="347" spans="1:165">
      <c r="A347" s="1767">
        <v>345</v>
      </c>
      <c r="B347" s="1767" t="s">
        <v>2355</v>
      </c>
      <c r="C347" s="1767" t="s">
        <v>2336</v>
      </c>
      <c r="D347" s="1767" t="s">
        <v>1819</v>
      </c>
      <c r="E347" s="1767" t="s">
        <v>887</v>
      </c>
      <c r="F347" s="1767" t="s">
        <v>887</v>
      </c>
      <c r="G347" s="1767" t="s">
        <v>1237</v>
      </c>
      <c r="H347" s="1767" t="s">
        <v>1237</v>
      </c>
      <c r="I347" s="1767" t="s">
        <v>1237</v>
      </c>
      <c r="J347" s="1767" t="s">
        <v>2337</v>
      </c>
      <c r="K347" s="1768">
        <v>44774</v>
      </c>
      <c r="L347" s="1767">
        <v>0</v>
      </c>
      <c r="M347" s="1767">
        <v>0</v>
      </c>
      <c r="N347" s="1767">
        <v>10.53</v>
      </c>
      <c r="O347" s="1767">
        <v>10.53</v>
      </c>
      <c r="P347" s="1767">
        <v>10.53</v>
      </c>
      <c r="Q347" s="1767">
        <v>10.53</v>
      </c>
      <c r="R347" s="1767"/>
      <c r="S347" s="1767">
        <v>707.13</v>
      </c>
      <c r="T347" s="1767">
        <v>119.97</v>
      </c>
      <c r="U347" s="1767"/>
      <c r="V347" s="1767">
        <v>8709.3629999999994</v>
      </c>
      <c r="W347" s="1767">
        <v>8709.3629999999994</v>
      </c>
      <c r="X347" s="1767">
        <v>7676.6858999999986</v>
      </c>
      <c r="Y347" s="1767">
        <v>0</v>
      </c>
      <c r="Z347" s="1767">
        <v>641.22308195762571</v>
      </c>
      <c r="AA347" s="1767">
        <v>0</v>
      </c>
      <c r="AB347" s="1767">
        <v>0</v>
      </c>
      <c r="AC347" s="1767">
        <v>0</v>
      </c>
      <c r="AD347" s="1767">
        <v>1132.3878897460813</v>
      </c>
      <c r="AE347" s="1767">
        <v>5363.5918494301195</v>
      </c>
      <c r="AF347" s="1767">
        <v>1263.3245622992604</v>
      </c>
      <c r="AG347" s="1767">
        <v>0</v>
      </c>
      <c r="AH347" s="1767">
        <v>0</v>
      </c>
      <c r="AI347" s="1767">
        <v>0</v>
      </c>
      <c r="AJ347" s="1767">
        <v>0</v>
      </c>
      <c r="AK347" s="1767">
        <v>0</v>
      </c>
      <c r="AL347" s="1767">
        <v>99.089678820259053</v>
      </c>
      <c r="AM347" s="1767"/>
      <c r="AN347" s="1767">
        <v>22.653175850208132</v>
      </c>
      <c r="AO347" s="1767">
        <v>0</v>
      </c>
      <c r="AP347" s="1767">
        <v>0</v>
      </c>
      <c r="AQ347" s="1767">
        <v>0</v>
      </c>
      <c r="AR347" s="1767">
        <v>0</v>
      </c>
      <c r="AS347" s="1767">
        <v>0</v>
      </c>
      <c r="AT347" s="1767">
        <v>0</v>
      </c>
      <c r="AU347" s="1767">
        <v>0</v>
      </c>
      <c r="AV347" s="1767">
        <v>0</v>
      </c>
      <c r="AW347" s="1767">
        <v>0</v>
      </c>
      <c r="AX347" s="1767">
        <v>0</v>
      </c>
      <c r="AY347" s="1767">
        <v>0</v>
      </c>
      <c r="AZ347" s="1767">
        <v>0</v>
      </c>
      <c r="BA347" s="1767"/>
      <c r="BB347" s="1767">
        <v>0</v>
      </c>
      <c r="BC347" s="1767">
        <v>0</v>
      </c>
      <c r="BD347" s="1767">
        <v>0</v>
      </c>
      <c r="BE347" s="1767">
        <v>0</v>
      </c>
      <c r="BF347" s="1767">
        <v>0</v>
      </c>
      <c r="BG347" s="1767">
        <v>187.14351422272051</v>
      </c>
      <c r="BH347" s="1767">
        <v>0</v>
      </c>
      <c r="BI347" s="1767">
        <v>0</v>
      </c>
      <c r="BJ347" s="1767">
        <v>0</v>
      </c>
      <c r="BK347" s="1767">
        <v>2572.87</v>
      </c>
      <c r="BL347" s="1767">
        <v>57</v>
      </c>
      <c r="BM347" s="1767"/>
      <c r="BN347" s="1767"/>
      <c r="BO347" s="1767"/>
      <c r="BP347" s="1767"/>
      <c r="BQ347" s="1767"/>
      <c r="BR347" s="1767"/>
      <c r="BS347" s="1767"/>
      <c r="BT347" s="1767"/>
      <c r="BU347" s="1767"/>
      <c r="BV347" s="1767">
        <v>1450.4680765219809</v>
      </c>
      <c r="BW347" s="1767"/>
      <c r="BX347" s="1767"/>
      <c r="BY347" s="1767"/>
      <c r="BZ347" s="1767"/>
      <c r="CA347" s="1767"/>
      <c r="CB347" s="1767"/>
      <c r="CC347" s="1767"/>
      <c r="CD347" s="1767"/>
      <c r="CE347" s="1767"/>
      <c r="CF347" s="1767"/>
      <c r="CG347" s="1767"/>
      <c r="CH347" s="1767"/>
      <c r="CI347" s="1767">
        <v>7676.6858999999986</v>
      </c>
      <c r="CJ347" s="1767">
        <v>-1032.7071000000014</v>
      </c>
      <c r="CK347" s="1767"/>
      <c r="CL347" s="1767"/>
      <c r="CM347" s="1767"/>
      <c r="CN347" s="1767"/>
      <c r="CO347" s="1767">
        <v>-1032.6771000000006</v>
      </c>
      <c r="CP347" s="1767">
        <v>0</v>
      </c>
      <c r="CQ347" s="1767">
        <v>31</v>
      </c>
      <c r="CR347" s="1767">
        <v>-79.589149428217297</v>
      </c>
      <c r="CS347" s="1767">
        <v>0</v>
      </c>
      <c r="CT347" s="1767">
        <v>0</v>
      </c>
      <c r="CU347" s="1767">
        <v>0</v>
      </c>
      <c r="CV347" s="1767">
        <v>0</v>
      </c>
      <c r="CW347" s="1767">
        <v>0</v>
      </c>
      <c r="CX347" s="1767">
        <v>0</v>
      </c>
      <c r="CY347" s="1767">
        <v>0</v>
      </c>
      <c r="CZ347" s="1767">
        <v>-6.0584789069660019</v>
      </c>
      <c r="DA347" s="1767">
        <v>0</v>
      </c>
      <c r="DB347" s="1767">
        <v>0</v>
      </c>
      <c r="DC347" s="1767">
        <v>0</v>
      </c>
      <c r="DD347" s="1767">
        <v>0</v>
      </c>
      <c r="DE347" s="1767">
        <v>0</v>
      </c>
      <c r="DF347" s="1767">
        <v>0</v>
      </c>
      <c r="DG347" s="1767">
        <v>0</v>
      </c>
      <c r="DH347" s="1767">
        <v>0</v>
      </c>
      <c r="DI347" s="1767">
        <v>-63.213223899459535</v>
      </c>
      <c r="DJ347" s="1767"/>
      <c r="DK347" s="1767">
        <v>0</v>
      </c>
      <c r="DL347" s="1767">
        <v>0</v>
      </c>
      <c r="DM347" s="1767">
        <v>0</v>
      </c>
      <c r="DN347" s="1767">
        <v>0</v>
      </c>
      <c r="DO347" s="1767">
        <v>-8.4442544222592915</v>
      </c>
      <c r="DP347" s="1767">
        <v>-1.8731921995326068</v>
      </c>
      <c r="DQ347" s="1767">
        <v>0</v>
      </c>
      <c r="DR347" s="1767">
        <v>0</v>
      </c>
      <c r="DS347" s="1767"/>
      <c r="DT347" s="1767"/>
      <c r="DU347" s="1767"/>
      <c r="DV347" s="1767">
        <v>5363.5918494301195</v>
      </c>
      <c r="DW347" s="1767">
        <v>0</v>
      </c>
      <c r="DX347" s="1767">
        <v>0</v>
      </c>
      <c r="DY347" s="1767">
        <v>-1032.6771000000008</v>
      </c>
      <c r="DZ347" s="1767">
        <v>0</v>
      </c>
      <c r="EA347" s="1767">
        <v>0</v>
      </c>
      <c r="EB347" s="1767">
        <v>0</v>
      </c>
      <c r="EC347" s="1767">
        <v>-953.07791764953981</v>
      </c>
      <c r="ED347" s="1767">
        <v>0</v>
      </c>
      <c r="EE347" s="1767">
        <v>0</v>
      </c>
      <c r="EF347" s="1767">
        <v>0</v>
      </c>
      <c r="EG347" s="1767">
        <v>0</v>
      </c>
      <c r="EH347" s="1767">
        <v>0</v>
      </c>
      <c r="EI347" s="1767">
        <v>0</v>
      </c>
      <c r="EJ347" s="1767">
        <v>0</v>
      </c>
      <c r="EK347" s="1767">
        <v>0</v>
      </c>
      <c r="EL347" s="1767">
        <v>0</v>
      </c>
      <c r="EM347" s="1767">
        <v>0</v>
      </c>
      <c r="EN347" s="1767">
        <v>0</v>
      </c>
      <c r="EO347" s="1767">
        <v>0</v>
      </c>
      <c r="EP347" s="1767">
        <v>0</v>
      </c>
      <c r="EQ347" s="1767">
        <v>0</v>
      </c>
      <c r="ER347" s="1767">
        <v>0</v>
      </c>
      <c r="ES347" s="1767">
        <v>0</v>
      </c>
      <c r="ET347" s="1767">
        <v>0</v>
      </c>
      <c r="EU347" s="1767">
        <v>0</v>
      </c>
      <c r="EV347" s="1767">
        <v>229</v>
      </c>
      <c r="EW347" s="1767">
        <v>0</v>
      </c>
      <c r="EX347" s="1767">
        <v>0</v>
      </c>
      <c r="EY347" s="1767">
        <v>0</v>
      </c>
      <c r="EZ347" s="1767"/>
      <c r="FA347" s="1767">
        <v>0</v>
      </c>
      <c r="FB347" s="1767"/>
      <c r="FC347" s="1767"/>
      <c r="FD347" s="1767"/>
      <c r="FE347" s="1767"/>
      <c r="FF347" s="1767">
        <v>0</v>
      </c>
      <c r="FG347" s="1767">
        <v>0</v>
      </c>
      <c r="FH347" s="1767">
        <v>0</v>
      </c>
      <c r="FI347" s="1767">
        <v>0</v>
      </c>
    </row>
    <row r="348" spans="1:165">
      <c r="A348" s="1767">
        <v>346</v>
      </c>
      <c r="B348" s="1767" t="s">
        <v>2355</v>
      </c>
      <c r="C348" s="1767" t="s">
        <v>2336</v>
      </c>
      <c r="D348" s="1767" t="s">
        <v>1819</v>
      </c>
      <c r="E348" s="1767" t="s">
        <v>887</v>
      </c>
      <c r="F348" s="1767" t="s">
        <v>2340</v>
      </c>
      <c r="G348" s="1767" t="s">
        <v>1237</v>
      </c>
      <c r="H348" s="1767" t="s">
        <v>1237</v>
      </c>
      <c r="I348" s="1767" t="s">
        <v>1237</v>
      </c>
      <c r="J348" s="1767" t="s">
        <v>2337</v>
      </c>
      <c r="K348" s="1768">
        <v>44774</v>
      </c>
      <c r="L348" s="1767">
        <v>0</v>
      </c>
      <c r="M348" s="1767">
        <v>0</v>
      </c>
      <c r="N348" s="1767">
        <v>5.52</v>
      </c>
      <c r="O348" s="1767">
        <v>5.52</v>
      </c>
      <c r="P348" s="1767">
        <v>5.52</v>
      </c>
      <c r="Q348" s="1767">
        <v>5.52</v>
      </c>
      <c r="R348" s="1767"/>
      <c r="S348" s="1767">
        <v>636.83000000000004</v>
      </c>
      <c r="T348" s="1767">
        <v>119.97</v>
      </c>
      <c r="U348" s="1767"/>
      <c r="V348" s="1767">
        <v>4177.5360000000001</v>
      </c>
      <c r="W348" s="1767">
        <v>4177.5360000000001</v>
      </c>
      <c r="X348" s="1767">
        <v>3673.7255999999993</v>
      </c>
      <c r="Y348" s="1767">
        <v>0</v>
      </c>
      <c r="Z348" s="1767">
        <v>0</v>
      </c>
      <c r="AA348" s="1767">
        <v>0</v>
      </c>
      <c r="AB348" s="1767">
        <v>0</v>
      </c>
      <c r="AC348" s="1767">
        <v>0</v>
      </c>
      <c r="AD348" s="1767">
        <v>593.61644362757545</v>
      </c>
      <c r="AE348" s="1767">
        <v>2811.683476624336</v>
      </c>
      <c r="AF348" s="1767">
        <v>662.25561100588004</v>
      </c>
      <c r="AG348" s="1767">
        <v>0</v>
      </c>
      <c r="AH348" s="1767">
        <v>0</v>
      </c>
      <c r="AI348" s="1767">
        <v>0</v>
      </c>
      <c r="AJ348" s="1767">
        <v>0</v>
      </c>
      <c r="AK348" s="1767">
        <v>0</v>
      </c>
      <c r="AL348" s="1767">
        <v>0</v>
      </c>
      <c r="AM348" s="1767"/>
      <c r="AN348" s="1767">
        <v>11.875169106661811</v>
      </c>
      <c r="AO348" s="1767">
        <v>0</v>
      </c>
      <c r="AP348" s="1767">
        <v>0</v>
      </c>
      <c r="AQ348" s="1767">
        <v>0</v>
      </c>
      <c r="AR348" s="1767">
        <v>0</v>
      </c>
      <c r="AS348" s="1767">
        <v>0</v>
      </c>
      <c r="AT348" s="1767">
        <v>0</v>
      </c>
      <c r="AU348" s="1767">
        <v>0</v>
      </c>
      <c r="AV348" s="1767">
        <v>0</v>
      </c>
      <c r="AW348" s="1767">
        <v>0</v>
      </c>
      <c r="AX348" s="1767">
        <v>0</v>
      </c>
      <c r="AY348" s="1767">
        <v>0</v>
      </c>
      <c r="AZ348" s="1767">
        <v>0</v>
      </c>
      <c r="BA348" s="1767"/>
      <c r="BB348" s="1767">
        <v>0</v>
      </c>
      <c r="BC348" s="1767">
        <v>0</v>
      </c>
      <c r="BD348" s="1767">
        <v>0</v>
      </c>
      <c r="BE348" s="1767">
        <v>0</v>
      </c>
      <c r="BF348" s="1767">
        <v>0</v>
      </c>
      <c r="BG348" s="1767">
        <v>98.103722555500212</v>
      </c>
      <c r="BH348" s="1767">
        <v>0</v>
      </c>
      <c r="BI348" s="1767">
        <v>0</v>
      </c>
      <c r="BJ348" s="1767">
        <v>0</v>
      </c>
      <c r="BK348" s="1767">
        <v>174.8</v>
      </c>
      <c r="BL348" s="1767">
        <v>12</v>
      </c>
      <c r="BM348" s="1767"/>
      <c r="BN348" s="1767"/>
      <c r="BO348" s="1767"/>
      <c r="BP348" s="1767"/>
      <c r="BQ348" s="1767"/>
      <c r="BR348" s="1767"/>
      <c r="BS348" s="1767"/>
      <c r="BT348" s="1767">
        <v>2387.8967999999995</v>
      </c>
      <c r="BU348" s="1767"/>
      <c r="BV348" s="1767">
        <v>760.35933356138025</v>
      </c>
      <c r="BW348" s="1767"/>
      <c r="BX348" s="1767"/>
      <c r="BY348" s="1767"/>
      <c r="BZ348" s="1767"/>
      <c r="CA348" s="1767"/>
      <c r="CB348" s="1767"/>
      <c r="CC348" s="1767"/>
      <c r="CD348" s="1767"/>
      <c r="CE348" s="1767"/>
      <c r="CF348" s="1767"/>
      <c r="CG348" s="1767"/>
      <c r="CH348" s="1767"/>
      <c r="CI348" s="1767">
        <v>1285.8287999999998</v>
      </c>
      <c r="CJ348" s="1767">
        <v>-176.33879999999999</v>
      </c>
      <c r="CK348" s="1767"/>
      <c r="CL348" s="1767"/>
      <c r="CM348" s="1767"/>
      <c r="CN348" s="1767"/>
      <c r="CO348" s="1767">
        <v>-503.81040000000047</v>
      </c>
      <c r="CP348" s="1767">
        <v>0</v>
      </c>
      <c r="CQ348" s="1767">
        <v>31</v>
      </c>
      <c r="CR348" s="1767">
        <v>-4.1579130586774227</v>
      </c>
      <c r="CS348" s="1767">
        <v>0</v>
      </c>
      <c r="CT348" s="1767">
        <v>0</v>
      </c>
      <c r="CU348" s="1767">
        <v>0</v>
      </c>
      <c r="CV348" s="1767">
        <v>0</v>
      </c>
      <c r="CW348" s="1767">
        <v>0</v>
      </c>
      <c r="CX348" s="1767">
        <v>0</v>
      </c>
      <c r="CY348" s="1767">
        <v>0</v>
      </c>
      <c r="CZ348" s="1767">
        <v>-3.1759547546489557</v>
      </c>
      <c r="DA348" s="1767">
        <v>0</v>
      </c>
      <c r="DB348" s="1767">
        <v>0</v>
      </c>
      <c r="DC348" s="1767">
        <v>0</v>
      </c>
      <c r="DD348" s="1767">
        <v>0</v>
      </c>
      <c r="DE348" s="1767">
        <v>0</v>
      </c>
      <c r="DF348" s="1767">
        <v>0</v>
      </c>
      <c r="DG348" s="1767">
        <v>0</v>
      </c>
      <c r="DH348" s="1767">
        <v>0</v>
      </c>
      <c r="DI348" s="1767">
        <v>0</v>
      </c>
      <c r="DJ348" s="1767"/>
      <c r="DK348" s="1767">
        <v>0</v>
      </c>
      <c r="DL348" s="1767">
        <v>0</v>
      </c>
      <c r="DM348" s="1767">
        <v>0</v>
      </c>
      <c r="DN348" s="1767">
        <v>0</v>
      </c>
      <c r="DO348" s="1767">
        <v>0</v>
      </c>
      <c r="DP348" s="1767">
        <v>-0.98195830402848827</v>
      </c>
      <c r="DQ348" s="1767">
        <v>0</v>
      </c>
      <c r="DR348" s="1767">
        <v>0</v>
      </c>
      <c r="DS348" s="1767"/>
      <c r="DT348" s="1767"/>
      <c r="DU348" s="1767"/>
      <c r="DV348" s="1767">
        <v>2811.683476624336</v>
      </c>
      <c r="DW348" s="1767">
        <v>0</v>
      </c>
      <c r="DX348" s="1767">
        <v>0</v>
      </c>
      <c r="DY348" s="1767">
        <v>-503.8104000000003</v>
      </c>
      <c r="DZ348" s="1767">
        <v>0</v>
      </c>
      <c r="EA348" s="1767">
        <v>0</v>
      </c>
      <c r="EB348" s="1767">
        <v>0</v>
      </c>
      <c r="EC348" s="1767">
        <v>-499.61919329776447</v>
      </c>
      <c r="ED348" s="1767">
        <v>0</v>
      </c>
      <c r="EE348" s="1767">
        <v>0</v>
      </c>
      <c r="EF348" s="1767">
        <v>0</v>
      </c>
      <c r="EG348" s="1767">
        <v>0</v>
      </c>
      <c r="EH348" s="1767">
        <v>0</v>
      </c>
      <c r="EI348" s="1767">
        <v>0</v>
      </c>
      <c r="EJ348" s="1767">
        <v>0</v>
      </c>
      <c r="EK348" s="1767">
        <v>0</v>
      </c>
      <c r="EL348" s="1767">
        <v>0</v>
      </c>
      <c r="EM348" s="1767">
        <v>0</v>
      </c>
      <c r="EN348" s="1767">
        <v>0</v>
      </c>
      <c r="EO348" s="1767">
        <v>0</v>
      </c>
      <c r="EP348" s="1767">
        <v>0</v>
      </c>
      <c r="EQ348" s="1767">
        <v>0</v>
      </c>
      <c r="ER348" s="1767">
        <v>0</v>
      </c>
      <c r="ES348" s="1767">
        <v>0</v>
      </c>
      <c r="ET348" s="1767">
        <v>0</v>
      </c>
      <c r="EU348" s="1767">
        <v>0</v>
      </c>
      <c r="EV348" s="1767">
        <v>229</v>
      </c>
      <c r="EW348" s="1767">
        <v>0</v>
      </c>
      <c r="EX348" s="1767">
        <v>0</v>
      </c>
      <c r="EY348" s="1767">
        <v>0</v>
      </c>
      <c r="EZ348" s="1767"/>
      <c r="FA348" s="1767">
        <v>0</v>
      </c>
      <c r="FB348" s="1767"/>
      <c r="FC348" s="1767"/>
      <c r="FD348" s="1767"/>
      <c r="FE348" s="1767"/>
      <c r="FF348" s="1767">
        <v>0</v>
      </c>
      <c r="FG348" s="1767">
        <v>0</v>
      </c>
      <c r="FH348" s="1767">
        <v>0</v>
      </c>
      <c r="FI348" s="1767">
        <v>0</v>
      </c>
    </row>
    <row r="349" spans="1:165">
      <c r="A349" s="1767">
        <v>347</v>
      </c>
      <c r="B349" s="1767" t="s">
        <v>2355</v>
      </c>
      <c r="C349" s="1767" t="s">
        <v>2336</v>
      </c>
      <c r="D349" s="1767" t="s">
        <v>1819</v>
      </c>
      <c r="E349" s="1767" t="s">
        <v>887</v>
      </c>
      <c r="F349" s="1767" t="s">
        <v>2341</v>
      </c>
      <c r="G349" s="1767" t="s">
        <v>1237</v>
      </c>
      <c r="H349" s="1767" t="s">
        <v>1237</v>
      </c>
      <c r="I349" s="1767" t="s">
        <v>1237</v>
      </c>
      <c r="J349" s="1767" t="s">
        <v>2337</v>
      </c>
      <c r="K349" s="1768">
        <v>44774</v>
      </c>
      <c r="L349" s="1767">
        <v>0</v>
      </c>
      <c r="M349" s="1767">
        <v>0</v>
      </c>
      <c r="N349" s="1767">
        <v>11.169</v>
      </c>
      <c r="O349" s="1767">
        <v>11.169</v>
      </c>
      <c r="P349" s="1767">
        <v>11.169</v>
      </c>
      <c r="Q349" s="1767">
        <v>11.169</v>
      </c>
      <c r="R349" s="1767"/>
      <c r="S349" s="1767">
        <v>636.83000000000004</v>
      </c>
      <c r="T349" s="1767">
        <v>119.97</v>
      </c>
      <c r="U349" s="1767"/>
      <c r="V349" s="1767">
        <v>8452.6992000000009</v>
      </c>
      <c r="W349" s="1767">
        <v>8452.6992000000009</v>
      </c>
      <c r="X349" s="1767">
        <v>7433.3045700000002</v>
      </c>
      <c r="Y349" s="1767">
        <v>0</v>
      </c>
      <c r="Z349" s="1767">
        <v>0</v>
      </c>
      <c r="AA349" s="1767">
        <v>0</v>
      </c>
      <c r="AB349" s="1767">
        <v>0</v>
      </c>
      <c r="AC349" s="1767">
        <v>0</v>
      </c>
      <c r="AD349" s="1767">
        <v>1201.1054454486214</v>
      </c>
      <c r="AE349" s="1767">
        <v>5689.0747736263065</v>
      </c>
      <c r="AF349" s="1767">
        <v>1339.9878477037455</v>
      </c>
      <c r="AG349" s="1767">
        <v>0</v>
      </c>
      <c r="AH349" s="1767">
        <v>0</v>
      </c>
      <c r="AI349" s="1767">
        <v>0</v>
      </c>
      <c r="AJ349" s="1767">
        <v>0</v>
      </c>
      <c r="AK349" s="1767">
        <v>0</v>
      </c>
      <c r="AL349" s="1767">
        <v>0</v>
      </c>
      <c r="AM349" s="1767"/>
      <c r="AN349" s="1767">
        <v>24.027855752229311</v>
      </c>
      <c r="AO349" s="1767">
        <v>0</v>
      </c>
      <c r="AP349" s="1767">
        <v>0</v>
      </c>
      <c r="AQ349" s="1767">
        <v>0</v>
      </c>
      <c r="AR349" s="1767">
        <v>0</v>
      </c>
      <c r="AS349" s="1767">
        <v>0</v>
      </c>
      <c r="AT349" s="1767">
        <v>0</v>
      </c>
      <c r="AU349" s="1767">
        <v>0</v>
      </c>
      <c r="AV349" s="1767">
        <v>0</v>
      </c>
      <c r="AW349" s="1767">
        <v>0</v>
      </c>
      <c r="AX349" s="1767">
        <v>0</v>
      </c>
      <c r="AY349" s="1767">
        <v>0</v>
      </c>
      <c r="AZ349" s="1767">
        <v>0</v>
      </c>
      <c r="BA349" s="1767"/>
      <c r="BB349" s="1767">
        <v>0</v>
      </c>
      <c r="BC349" s="1767">
        <v>0</v>
      </c>
      <c r="BD349" s="1767">
        <v>0</v>
      </c>
      <c r="BE349" s="1767">
        <v>0</v>
      </c>
      <c r="BF349" s="1767">
        <v>0</v>
      </c>
      <c r="BG349" s="1767">
        <v>198.50008645333008</v>
      </c>
      <c r="BH349" s="1767">
        <v>0</v>
      </c>
      <c r="BI349" s="1767">
        <v>0</v>
      </c>
      <c r="BJ349" s="1767">
        <v>0</v>
      </c>
      <c r="BK349" s="1767">
        <v>607.91999999999996</v>
      </c>
      <c r="BL349" s="1767">
        <v>32</v>
      </c>
      <c r="BM349" s="1767"/>
      <c r="BN349" s="1767"/>
      <c r="BO349" s="1767"/>
      <c r="BP349" s="1767"/>
      <c r="BQ349" s="1767"/>
      <c r="BR349" s="1767"/>
      <c r="BS349" s="1767"/>
      <c r="BT349" s="1767">
        <v>2973.2994899999999</v>
      </c>
      <c r="BU349" s="1767"/>
      <c r="BV349" s="1767">
        <v>1538.4879341570756</v>
      </c>
      <c r="BW349" s="1767"/>
      <c r="BX349" s="1767"/>
      <c r="BY349" s="1767"/>
      <c r="BZ349" s="1767"/>
      <c r="CA349" s="1767"/>
      <c r="CB349" s="1767"/>
      <c r="CC349" s="1767"/>
      <c r="CD349" s="1767"/>
      <c r="CE349" s="1767"/>
      <c r="CF349" s="1767"/>
      <c r="CG349" s="1767"/>
      <c r="CH349" s="1767"/>
      <c r="CI349" s="1767">
        <v>4460.4043999999994</v>
      </c>
      <c r="CJ349" s="1767">
        <v>-611.24512000000232</v>
      </c>
      <c r="CK349" s="1767"/>
      <c r="CL349" s="1767"/>
      <c r="CM349" s="1767"/>
      <c r="CN349" s="1767"/>
      <c r="CO349" s="1767">
        <v>-1019.3946300000011</v>
      </c>
      <c r="CP349" s="1767">
        <v>0</v>
      </c>
      <c r="CQ349" s="1767">
        <v>31</v>
      </c>
      <c r="CR349" s="1767">
        <v>-8.41299473774734</v>
      </c>
      <c r="CS349" s="1767">
        <v>0</v>
      </c>
      <c r="CT349" s="1767">
        <v>0</v>
      </c>
      <c r="CU349" s="1767">
        <v>0</v>
      </c>
      <c r="CV349" s="1767">
        <v>0</v>
      </c>
      <c r="CW349" s="1767">
        <v>0</v>
      </c>
      <c r="CX349" s="1767">
        <v>0</v>
      </c>
      <c r="CY349" s="1767">
        <v>0</v>
      </c>
      <c r="CZ349" s="1767">
        <v>-6.4261301910639759</v>
      </c>
      <c r="DA349" s="1767">
        <v>0</v>
      </c>
      <c r="DB349" s="1767">
        <v>0</v>
      </c>
      <c r="DC349" s="1767">
        <v>0</v>
      </c>
      <c r="DD349" s="1767">
        <v>0</v>
      </c>
      <c r="DE349" s="1767">
        <v>0</v>
      </c>
      <c r="DF349" s="1767">
        <v>0</v>
      </c>
      <c r="DG349" s="1767">
        <v>0</v>
      </c>
      <c r="DH349" s="1767">
        <v>0</v>
      </c>
      <c r="DI349" s="1767">
        <v>0</v>
      </c>
      <c r="DJ349" s="1767"/>
      <c r="DK349" s="1767">
        <v>0</v>
      </c>
      <c r="DL349" s="1767">
        <v>0</v>
      </c>
      <c r="DM349" s="1767">
        <v>0</v>
      </c>
      <c r="DN349" s="1767">
        <v>0</v>
      </c>
      <c r="DO349" s="1767">
        <v>0</v>
      </c>
      <c r="DP349" s="1767">
        <v>-1.98686454668373</v>
      </c>
      <c r="DQ349" s="1767">
        <v>0</v>
      </c>
      <c r="DR349" s="1767">
        <v>0</v>
      </c>
      <c r="DS349" s="1767"/>
      <c r="DT349" s="1767"/>
      <c r="DU349" s="1767"/>
      <c r="DV349" s="1767">
        <v>5689.0747736263065</v>
      </c>
      <c r="DW349" s="1767">
        <v>0</v>
      </c>
      <c r="DX349" s="1767">
        <v>0</v>
      </c>
      <c r="DY349" s="1767">
        <v>-1019.3946300000007</v>
      </c>
      <c r="DZ349" s="1767">
        <v>0</v>
      </c>
      <c r="EA349" s="1767">
        <v>0</v>
      </c>
      <c r="EB349" s="1767">
        <v>0</v>
      </c>
      <c r="EC349" s="1767">
        <v>-1010.9142699171616</v>
      </c>
      <c r="ED349" s="1767">
        <v>0</v>
      </c>
      <c r="EE349" s="1767">
        <v>0</v>
      </c>
      <c r="EF349" s="1767">
        <v>0</v>
      </c>
      <c r="EG349" s="1767">
        <v>0</v>
      </c>
      <c r="EH349" s="1767">
        <v>0</v>
      </c>
      <c r="EI349" s="1767">
        <v>0</v>
      </c>
      <c r="EJ349" s="1767">
        <v>0</v>
      </c>
      <c r="EK349" s="1767">
        <v>0</v>
      </c>
      <c r="EL349" s="1767">
        <v>0</v>
      </c>
      <c r="EM349" s="1767">
        <v>0</v>
      </c>
      <c r="EN349" s="1767">
        <v>0</v>
      </c>
      <c r="EO349" s="1767">
        <v>0</v>
      </c>
      <c r="EP349" s="1767">
        <v>0</v>
      </c>
      <c r="EQ349" s="1767">
        <v>0</v>
      </c>
      <c r="ER349" s="1767">
        <v>0</v>
      </c>
      <c r="ES349" s="1767">
        <v>0</v>
      </c>
      <c r="ET349" s="1767">
        <v>0</v>
      </c>
      <c r="EU349" s="1767">
        <v>0</v>
      </c>
      <c r="EV349" s="1767">
        <v>229</v>
      </c>
      <c r="EW349" s="1767">
        <v>0</v>
      </c>
      <c r="EX349" s="1767">
        <v>0</v>
      </c>
      <c r="EY349" s="1767">
        <v>0</v>
      </c>
      <c r="EZ349" s="1767"/>
      <c r="FA349" s="1767">
        <v>0</v>
      </c>
      <c r="FB349" s="1767"/>
      <c r="FC349" s="1767"/>
      <c r="FD349" s="1767"/>
      <c r="FE349" s="1767"/>
      <c r="FF349" s="1767">
        <v>0</v>
      </c>
      <c r="FG349" s="1767">
        <v>0</v>
      </c>
      <c r="FH349" s="1767">
        <v>0</v>
      </c>
      <c r="FI349" s="1767">
        <v>0</v>
      </c>
    </row>
    <row r="350" spans="1:165">
      <c r="A350" s="1767">
        <v>348</v>
      </c>
      <c r="B350" s="1767" t="s">
        <v>2355</v>
      </c>
      <c r="C350" s="1767" t="s">
        <v>2336</v>
      </c>
      <c r="D350" s="1767" t="s">
        <v>1819</v>
      </c>
      <c r="E350" s="1767" t="s">
        <v>887</v>
      </c>
      <c r="F350" s="1767" t="s">
        <v>2342</v>
      </c>
      <c r="G350" s="1767" t="s">
        <v>1237</v>
      </c>
      <c r="H350" s="1767" t="s">
        <v>1237</v>
      </c>
      <c r="I350" s="1767" t="s">
        <v>1237</v>
      </c>
      <c r="J350" s="1767" t="s">
        <v>2337</v>
      </c>
      <c r="K350" s="1768">
        <v>44774</v>
      </c>
      <c r="L350" s="1767">
        <v>0</v>
      </c>
      <c r="M350" s="1767">
        <v>0</v>
      </c>
      <c r="N350" s="1767">
        <v>10.829000000000001</v>
      </c>
      <c r="O350" s="1767">
        <v>10.829000000000001</v>
      </c>
      <c r="P350" s="1767">
        <v>10.829000000000001</v>
      </c>
      <c r="Q350" s="1767">
        <v>10.829000000000001</v>
      </c>
      <c r="R350" s="1767"/>
      <c r="S350" s="1767">
        <v>636.83000000000004</v>
      </c>
      <c r="T350" s="1767">
        <v>119.97</v>
      </c>
      <c r="U350" s="1767"/>
      <c r="V350" s="1767">
        <v>8195.387200000001</v>
      </c>
      <c r="W350" s="1767">
        <v>8195.387200000001</v>
      </c>
      <c r="X350" s="1767">
        <v>7207.0243700000001</v>
      </c>
      <c r="Y350" s="1767">
        <v>0</v>
      </c>
      <c r="Z350" s="1767">
        <v>0</v>
      </c>
      <c r="AA350" s="1767">
        <v>0</v>
      </c>
      <c r="AB350" s="1767">
        <v>0</v>
      </c>
      <c r="AC350" s="1767">
        <v>0</v>
      </c>
      <c r="AD350" s="1767">
        <v>1164.5421137759085</v>
      </c>
      <c r="AE350" s="1767">
        <v>5515.8913710806046</v>
      </c>
      <c r="AF350" s="1767">
        <v>1299.1967412287456</v>
      </c>
      <c r="AG350" s="1767">
        <v>0</v>
      </c>
      <c r="AH350" s="1767">
        <v>0</v>
      </c>
      <c r="AI350" s="1767">
        <v>0</v>
      </c>
      <c r="AJ350" s="1767">
        <v>0</v>
      </c>
      <c r="AK350" s="1767">
        <v>0</v>
      </c>
      <c r="AL350" s="1767">
        <v>0</v>
      </c>
      <c r="AM350" s="1767"/>
      <c r="AN350" s="1767">
        <v>23.296414176818981</v>
      </c>
      <c r="AO350" s="1767">
        <v>0</v>
      </c>
      <c r="AP350" s="1767">
        <v>0</v>
      </c>
      <c r="AQ350" s="1767">
        <v>0</v>
      </c>
      <c r="AR350" s="1767">
        <v>0</v>
      </c>
      <c r="AS350" s="1767">
        <v>0</v>
      </c>
      <c r="AT350" s="1767">
        <v>0</v>
      </c>
      <c r="AU350" s="1767">
        <v>0</v>
      </c>
      <c r="AV350" s="1767">
        <v>0</v>
      </c>
      <c r="AW350" s="1767">
        <v>0</v>
      </c>
      <c r="AX350" s="1767">
        <v>0</v>
      </c>
      <c r="AY350" s="1767">
        <v>0</v>
      </c>
      <c r="AZ350" s="1767">
        <v>0</v>
      </c>
      <c r="BA350" s="1767"/>
      <c r="BB350" s="1767">
        <v>0</v>
      </c>
      <c r="BC350" s="1767">
        <v>0</v>
      </c>
      <c r="BD350" s="1767">
        <v>0</v>
      </c>
      <c r="BE350" s="1767">
        <v>0</v>
      </c>
      <c r="BF350" s="1767">
        <v>0</v>
      </c>
      <c r="BG350" s="1767">
        <v>192.45746586114348</v>
      </c>
      <c r="BH350" s="1767">
        <v>0</v>
      </c>
      <c r="BI350" s="1767">
        <v>0</v>
      </c>
      <c r="BJ350" s="1767">
        <v>0</v>
      </c>
      <c r="BK350" s="1767">
        <v>1088.51</v>
      </c>
      <c r="BL350" s="1767">
        <v>93</v>
      </c>
      <c r="BM350" s="1767"/>
      <c r="BN350" s="1767"/>
      <c r="BO350" s="1767"/>
      <c r="BP350" s="1767"/>
      <c r="BQ350" s="1767"/>
      <c r="BR350" s="1767"/>
      <c r="BS350" s="1767"/>
      <c r="BT350" s="1767">
        <v>720.56165999999951</v>
      </c>
      <c r="BU350" s="1767"/>
      <c r="BV350" s="1767">
        <v>1491.654207089889</v>
      </c>
      <c r="BW350" s="1767"/>
      <c r="BX350" s="1767"/>
      <c r="BY350" s="1767"/>
      <c r="BZ350" s="1767"/>
      <c r="CA350" s="1767"/>
      <c r="CB350" s="1767"/>
      <c r="CC350" s="1767"/>
      <c r="CD350" s="1767"/>
      <c r="CE350" s="1767"/>
      <c r="CF350" s="1767"/>
      <c r="CG350" s="1767"/>
      <c r="CH350" s="1767"/>
      <c r="CI350" s="1767">
        <v>6487.0617000000002</v>
      </c>
      <c r="CJ350" s="1767">
        <v>-888.81678000000102</v>
      </c>
      <c r="CK350" s="1767"/>
      <c r="CL350" s="1767"/>
      <c r="CM350" s="1767"/>
      <c r="CN350" s="1767"/>
      <c r="CO350" s="1767">
        <v>-988.36283000000105</v>
      </c>
      <c r="CP350" s="1767">
        <v>0</v>
      </c>
      <c r="CQ350" s="1767">
        <v>31</v>
      </c>
      <c r="CR350" s="1767">
        <v>-8.1568913971768779</v>
      </c>
      <c r="CS350" s="1767">
        <v>0</v>
      </c>
      <c r="CT350" s="1767">
        <v>0</v>
      </c>
      <c r="CU350" s="1767">
        <v>0</v>
      </c>
      <c r="CV350" s="1767">
        <v>0</v>
      </c>
      <c r="CW350" s="1767">
        <v>0</v>
      </c>
      <c r="CX350" s="1767">
        <v>0</v>
      </c>
      <c r="CY350" s="1767">
        <v>0</v>
      </c>
      <c r="CZ350" s="1767">
        <v>-6.2305097895095969</v>
      </c>
      <c r="DA350" s="1767">
        <v>0</v>
      </c>
      <c r="DB350" s="1767">
        <v>0</v>
      </c>
      <c r="DC350" s="1767">
        <v>0</v>
      </c>
      <c r="DD350" s="1767">
        <v>0</v>
      </c>
      <c r="DE350" s="1767">
        <v>0</v>
      </c>
      <c r="DF350" s="1767">
        <v>0</v>
      </c>
      <c r="DG350" s="1767">
        <v>0</v>
      </c>
      <c r="DH350" s="1767">
        <v>0</v>
      </c>
      <c r="DI350" s="1767">
        <v>0</v>
      </c>
      <c r="DJ350" s="1767"/>
      <c r="DK350" s="1767">
        <v>0</v>
      </c>
      <c r="DL350" s="1767">
        <v>0</v>
      </c>
      <c r="DM350" s="1767">
        <v>0</v>
      </c>
      <c r="DN350" s="1767">
        <v>0</v>
      </c>
      <c r="DO350" s="1767">
        <v>0</v>
      </c>
      <c r="DP350" s="1767">
        <v>-1.92638160766748</v>
      </c>
      <c r="DQ350" s="1767">
        <v>0</v>
      </c>
      <c r="DR350" s="1767">
        <v>0</v>
      </c>
      <c r="DS350" s="1767"/>
      <c r="DT350" s="1767"/>
      <c r="DU350" s="1767"/>
      <c r="DV350" s="1767">
        <v>5515.8913710806046</v>
      </c>
      <c r="DW350" s="1767">
        <v>0</v>
      </c>
      <c r="DX350" s="1767">
        <v>0</v>
      </c>
      <c r="DY350" s="1767">
        <v>-988.36283000000094</v>
      </c>
      <c r="DZ350" s="1767">
        <v>0</v>
      </c>
      <c r="EA350" s="1767">
        <v>0</v>
      </c>
      <c r="EB350" s="1767">
        <v>0</v>
      </c>
      <c r="EC350" s="1767">
        <v>-980.14062395316796</v>
      </c>
      <c r="ED350" s="1767">
        <v>0</v>
      </c>
      <c r="EE350" s="1767">
        <v>0</v>
      </c>
      <c r="EF350" s="1767">
        <v>0</v>
      </c>
      <c r="EG350" s="1767">
        <v>0</v>
      </c>
      <c r="EH350" s="1767">
        <v>0</v>
      </c>
      <c r="EI350" s="1767">
        <v>0</v>
      </c>
      <c r="EJ350" s="1767">
        <v>0</v>
      </c>
      <c r="EK350" s="1767">
        <v>0</v>
      </c>
      <c r="EL350" s="1767">
        <v>0</v>
      </c>
      <c r="EM350" s="1767">
        <v>0</v>
      </c>
      <c r="EN350" s="1767">
        <v>0</v>
      </c>
      <c r="EO350" s="1767">
        <v>0</v>
      </c>
      <c r="EP350" s="1767">
        <v>0</v>
      </c>
      <c r="EQ350" s="1767">
        <v>0</v>
      </c>
      <c r="ER350" s="1767">
        <v>0</v>
      </c>
      <c r="ES350" s="1767">
        <v>0</v>
      </c>
      <c r="ET350" s="1767">
        <v>0</v>
      </c>
      <c r="EU350" s="1767">
        <v>0</v>
      </c>
      <c r="EV350" s="1767">
        <v>229</v>
      </c>
      <c r="EW350" s="1767">
        <v>0</v>
      </c>
      <c r="EX350" s="1767">
        <v>0</v>
      </c>
      <c r="EY350" s="1767">
        <v>0</v>
      </c>
      <c r="EZ350" s="1767"/>
      <c r="FA350" s="1767">
        <v>0</v>
      </c>
      <c r="FB350" s="1767"/>
      <c r="FC350" s="1767"/>
      <c r="FD350" s="1767"/>
      <c r="FE350" s="1767"/>
      <c r="FF350" s="1767">
        <v>0</v>
      </c>
      <c r="FG350" s="1767">
        <v>0</v>
      </c>
      <c r="FH350" s="1767">
        <v>0</v>
      </c>
      <c r="FI350" s="1767">
        <v>0</v>
      </c>
    </row>
    <row r="351" spans="1:165">
      <c r="A351" s="1767">
        <v>349</v>
      </c>
      <c r="B351" s="1767" t="s">
        <v>2355</v>
      </c>
      <c r="C351" s="1767" t="s">
        <v>2336</v>
      </c>
      <c r="D351" s="1767" t="s">
        <v>1819</v>
      </c>
      <c r="E351" s="1767" t="s">
        <v>887</v>
      </c>
      <c r="F351" s="1767" t="s">
        <v>2343</v>
      </c>
      <c r="G351" s="1767" t="s">
        <v>1237</v>
      </c>
      <c r="H351" s="1767" t="s">
        <v>1237</v>
      </c>
      <c r="I351" s="1767" t="s">
        <v>1237</v>
      </c>
      <c r="J351" s="1767" t="s">
        <v>2337</v>
      </c>
      <c r="K351" s="1768">
        <v>44774</v>
      </c>
      <c r="L351" s="1767">
        <v>0</v>
      </c>
      <c r="M351" s="1767">
        <v>0</v>
      </c>
      <c r="N351" s="1767">
        <v>3.0920000000000001</v>
      </c>
      <c r="O351" s="1767">
        <v>3.0920000000000001</v>
      </c>
      <c r="P351" s="1767">
        <v>3.0920000000000001</v>
      </c>
      <c r="Q351" s="1767">
        <v>3.0920000000000001</v>
      </c>
      <c r="R351" s="1767"/>
      <c r="S351" s="1767">
        <v>636.83000000000004</v>
      </c>
      <c r="T351" s="1767">
        <v>119.97</v>
      </c>
      <c r="U351" s="1767"/>
      <c r="V351" s="1767">
        <v>2340.0256000000004</v>
      </c>
      <c r="W351" s="1767">
        <v>2340.0256000000004</v>
      </c>
      <c r="X351" s="1767">
        <v>2057.8187600000001</v>
      </c>
      <c r="Y351" s="1767">
        <v>0</v>
      </c>
      <c r="Z351" s="1767">
        <v>0</v>
      </c>
      <c r="AA351" s="1767">
        <v>0</v>
      </c>
      <c r="AB351" s="1767">
        <v>0</v>
      </c>
      <c r="AC351" s="1767">
        <v>0</v>
      </c>
      <c r="AD351" s="1767">
        <v>332.51123980008396</v>
      </c>
      <c r="AE351" s="1767">
        <v>1574.9502372685592</v>
      </c>
      <c r="AF351" s="1767">
        <v>370.95912123735167</v>
      </c>
      <c r="AG351" s="1767">
        <v>0</v>
      </c>
      <c r="AH351" s="1767">
        <v>0</v>
      </c>
      <c r="AI351" s="1767">
        <v>0</v>
      </c>
      <c r="AJ351" s="1767">
        <v>0</v>
      </c>
      <c r="AK351" s="1767">
        <v>0</v>
      </c>
      <c r="AL351" s="1767">
        <v>0</v>
      </c>
      <c r="AM351" s="1767"/>
      <c r="AN351" s="1767">
        <v>6.6518157387315808</v>
      </c>
      <c r="AO351" s="1767">
        <v>0</v>
      </c>
      <c r="AP351" s="1767">
        <v>0</v>
      </c>
      <c r="AQ351" s="1767">
        <v>0</v>
      </c>
      <c r="AR351" s="1767">
        <v>0</v>
      </c>
      <c r="AS351" s="1767">
        <v>0</v>
      </c>
      <c r="AT351" s="1767">
        <v>0</v>
      </c>
      <c r="AU351" s="1767">
        <v>0</v>
      </c>
      <c r="AV351" s="1767">
        <v>0</v>
      </c>
      <c r="AW351" s="1767">
        <v>0</v>
      </c>
      <c r="AX351" s="1767">
        <v>0</v>
      </c>
      <c r="AY351" s="1767">
        <v>0</v>
      </c>
      <c r="AZ351" s="1767">
        <v>0</v>
      </c>
      <c r="BA351" s="1767"/>
      <c r="BB351" s="1767">
        <v>0</v>
      </c>
      <c r="BC351" s="1767">
        <v>0</v>
      </c>
      <c r="BD351" s="1767">
        <v>0</v>
      </c>
      <c r="BE351" s="1767">
        <v>0</v>
      </c>
      <c r="BF351" s="1767">
        <v>0</v>
      </c>
      <c r="BG351" s="1767">
        <v>54.952302561885269</v>
      </c>
      <c r="BH351" s="1767">
        <v>0</v>
      </c>
      <c r="BI351" s="1767">
        <v>0</v>
      </c>
      <c r="BJ351" s="1767">
        <v>0</v>
      </c>
      <c r="BK351" s="1767">
        <v>421.43</v>
      </c>
      <c r="BL351" s="1767">
        <v>47</v>
      </c>
      <c r="BM351" s="1767"/>
      <c r="BN351" s="1767"/>
      <c r="BO351" s="1767"/>
      <c r="BP351" s="1767"/>
      <c r="BQ351" s="1767"/>
      <c r="BR351" s="1767"/>
      <c r="BS351" s="1767"/>
      <c r="BT351" s="1767"/>
      <c r="BU351" s="1767"/>
      <c r="BV351" s="1767">
        <v>425.91142379923696</v>
      </c>
      <c r="BW351" s="1767"/>
      <c r="BX351" s="1767"/>
      <c r="BY351" s="1767"/>
      <c r="BZ351" s="1767"/>
      <c r="CA351" s="1767"/>
      <c r="CB351" s="1767"/>
      <c r="CC351" s="1767"/>
      <c r="CD351" s="1767"/>
      <c r="CE351" s="1767"/>
      <c r="CF351" s="1767"/>
      <c r="CG351" s="1767"/>
      <c r="CH351" s="1767"/>
      <c r="CI351" s="1767">
        <v>2056.4876999999997</v>
      </c>
      <c r="CJ351" s="1767">
        <v>-283.56790000000092</v>
      </c>
      <c r="CK351" s="1767"/>
      <c r="CL351" s="1767"/>
      <c r="CM351" s="1767"/>
      <c r="CN351" s="1767"/>
      <c r="CO351" s="1767">
        <v>-282.20684000000028</v>
      </c>
      <c r="CP351" s="1767">
        <v>0</v>
      </c>
      <c r="CQ351" s="1767">
        <v>31</v>
      </c>
      <c r="CR351" s="1767">
        <v>-2.3290339089546706</v>
      </c>
      <c r="CS351" s="1767">
        <v>0</v>
      </c>
      <c r="CT351" s="1767">
        <v>0</v>
      </c>
      <c r="CU351" s="1767">
        <v>0</v>
      </c>
      <c r="CV351" s="1767">
        <v>0</v>
      </c>
      <c r="CW351" s="1767">
        <v>0</v>
      </c>
      <c r="CX351" s="1767">
        <v>0</v>
      </c>
      <c r="CY351" s="1767">
        <v>0</v>
      </c>
      <c r="CZ351" s="1767">
        <v>-1.7789949459011609</v>
      </c>
      <c r="DA351" s="1767">
        <v>0</v>
      </c>
      <c r="DB351" s="1767">
        <v>0</v>
      </c>
      <c r="DC351" s="1767">
        <v>0</v>
      </c>
      <c r="DD351" s="1767">
        <v>0</v>
      </c>
      <c r="DE351" s="1767">
        <v>0</v>
      </c>
      <c r="DF351" s="1767">
        <v>0</v>
      </c>
      <c r="DG351" s="1767">
        <v>0</v>
      </c>
      <c r="DH351" s="1767">
        <v>0</v>
      </c>
      <c r="DI351" s="1767">
        <v>0</v>
      </c>
      <c r="DJ351" s="1767"/>
      <c r="DK351" s="1767">
        <v>0</v>
      </c>
      <c r="DL351" s="1767">
        <v>0</v>
      </c>
      <c r="DM351" s="1767">
        <v>0</v>
      </c>
      <c r="DN351" s="1767">
        <v>0</v>
      </c>
      <c r="DO351" s="1767">
        <v>0</v>
      </c>
      <c r="DP351" s="1767">
        <v>-0.55003896305363842</v>
      </c>
      <c r="DQ351" s="1767">
        <v>0</v>
      </c>
      <c r="DR351" s="1767">
        <v>0</v>
      </c>
      <c r="DS351" s="1767"/>
      <c r="DT351" s="1767"/>
      <c r="DU351" s="1767"/>
      <c r="DV351" s="1767">
        <v>1574.9502372685592</v>
      </c>
      <c r="DW351" s="1767">
        <v>0</v>
      </c>
      <c r="DX351" s="1767">
        <v>0</v>
      </c>
      <c r="DY351" s="1767">
        <v>-282.20684000000028</v>
      </c>
      <c r="DZ351" s="1767">
        <v>0</v>
      </c>
      <c r="EA351" s="1767">
        <v>0</v>
      </c>
      <c r="EB351" s="1767">
        <v>0</v>
      </c>
      <c r="EC351" s="1767">
        <v>-279.85915682548671</v>
      </c>
      <c r="ED351" s="1767">
        <v>0</v>
      </c>
      <c r="EE351" s="1767">
        <v>0</v>
      </c>
      <c r="EF351" s="1767">
        <v>0</v>
      </c>
      <c r="EG351" s="1767">
        <v>0</v>
      </c>
      <c r="EH351" s="1767">
        <v>0</v>
      </c>
      <c r="EI351" s="1767">
        <v>0</v>
      </c>
      <c r="EJ351" s="1767">
        <v>0</v>
      </c>
      <c r="EK351" s="1767">
        <v>0</v>
      </c>
      <c r="EL351" s="1767">
        <v>0</v>
      </c>
      <c r="EM351" s="1767">
        <v>0</v>
      </c>
      <c r="EN351" s="1767">
        <v>0</v>
      </c>
      <c r="EO351" s="1767">
        <v>0</v>
      </c>
      <c r="EP351" s="1767">
        <v>0</v>
      </c>
      <c r="EQ351" s="1767">
        <v>0</v>
      </c>
      <c r="ER351" s="1767">
        <v>0</v>
      </c>
      <c r="ES351" s="1767">
        <v>0</v>
      </c>
      <c r="ET351" s="1767">
        <v>0</v>
      </c>
      <c r="EU351" s="1767">
        <v>0</v>
      </c>
      <c r="EV351" s="1767">
        <v>229</v>
      </c>
      <c r="EW351" s="1767">
        <v>0</v>
      </c>
      <c r="EX351" s="1767">
        <v>0</v>
      </c>
      <c r="EY351" s="1767">
        <v>0</v>
      </c>
      <c r="EZ351" s="1767"/>
      <c r="FA351" s="1767">
        <v>0</v>
      </c>
      <c r="FB351" s="1767"/>
      <c r="FC351" s="1767"/>
      <c r="FD351" s="1767"/>
      <c r="FE351" s="1767"/>
      <c r="FF351" s="1767">
        <v>0</v>
      </c>
      <c r="FG351" s="1767">
        <v>0</v>
      </c>
      <c r="FH351" s="1767">
        <v>0</v>
      </c>
      <c r="FI351" s="1767">
        <v>0</v>
      </c>
    </row>
    <row r="352" spans="1:165">
      <c r="A352" s="1767">
        <v>350</v>
      </c>
      <c r="B352" s="1767" t="s">
        <v>2355</v>
      </c>
      <c r="C352" s="1767" t="s">
        <v>2336</v>
      </c>
      <c r="D352" s="1767" t="s">
        <v>1822</v>
      </c>
      <c r="E352" s="1767" t="s">
        <v>888</v>
      </c>
      <c r="F352" s="1767" t="s">
        <v>1237</v>
      </c>
      <c r="G352" s="1767" t="s">
        <v>1237</v>
      </c>
      <c r="H352" s="1767" t="s">
        <v>1237</v>
      </c>
      <c r="I352" s="1767" t="s">
        <v>1237</v>
      </c>
      <c r="J352" s="1767" t="s">
        <v>2337</v>
      </c>
      <c r="K352" s="1768">
        <v>44774</v>
      </c>
      <c r="L352" s="1767">
        <v>0</v>
      </c>
      <c r="M352" s="1767">
        <v>0</v>
      </c>
      <c r="N352" s="1767">
        <v>120.703</v>
      </c>
      <c r="O352" s="1767">
        <v>120.703</v>
      </c>
      <c r="P352" s="1767">
        <v>120.703</v>
      </c>
      <c r="Q352" s="1767">
        <v>120.703</v>
      </c>
      <c r="R352" s="1767"/>
      <c r="S352" s="1767">
        <v>707.13</v>
      </c>
      <c r="T352" s="1767">
        <v>119.97</v>
      </c>
      <c r="U352" s="1767"/>
      <c r="V352" s="1767">
        <v>99833.451300000001</v>
      </c>
      <c r="W352" s="1767">
        <v>99833.451300000001</v>
      </c>
      <c r="X352" s="1767">
        <v>87996.108089999994</v>
      </c>
      <c r="Y352" s="1767">
        <v>0</v>
      </c>
      <c r="Z352" s="1767">
        <v>7350.1946497180725</v>
      </c>
      <c r="AA352" s="1767">
        <v>0</v>
      </c>
      <c r="AB352" s="1767">
        <v>0</v>
      </c>
      <c r="AC352" s="1767">
        <v>0</v>
      </c>
      <c r="AD352" s="1767">
        <v>12980.305361445515</v>
      </c>
      <c r="AE352" s="1767">
        <v>61481.635992570154</v>
      </c>
      <c r="AF352" s="1767">
        <v>14481.202720152671</v>
      </c>
      <c r="AG352" s="1767">
        <v>0</v>
      </c>
      <c r="AH352" s="1767">
        <v>0</v>
      </c>
      <c r="AI352" s="1767">
        <v>0</v>
      </c>
      <c r="AJ352" s="1767">
        <v>0</v>
      </c>
      <c r="AK352" s="1767">
        <v>0</v>
      </c>
      <c r="AL352" s="1767">
        <v>1135.8424978767075</v>
      </c>
      <c r="AM352" s="1767"/>
      <c r="AN352" s="1767">
        <v>259.66821316692045</v>
      </c>
      <c r="AO352" s="1767">
        <v>0</v>
      </c>
      <c r="AP352" s="1767">
        <v>0</v>
      </c>
      <c r="AQ352" s="1767">
        <v>0</v>
      </c>
      <c r="AR352" s="1767">
        <v>0</v>
      </c>
      <c r="AS352" s="1767">
        <v>0</v>
      </c>
      <c r="AT352" s="1767">
        <v>0</v>
      </c>
      <c r="AU352" s="1767">
        <v>0</v>
      </c>
      <c r="AV352" s="1767">
        <v>0</v>
      </c>
      <c r="AW352" s="1767">
        <v>0</v>
      </c>
      <c r="AX352" s="1767">
        <v>0</v>
      </c>
      <c r="AY352" s="1767">
        <v>0</v>
      </c>
      <c r="AZ352" s="1767">
        <v>0</v>
      </c>
      <c r="BA352" s="1767"/>
      <c r="BB352" s="1767">
        <v>0</v>
      </c>
      <c r="BC352" s="1767">
        <v>0</v>
      </c>
      <c r="BD352" s="1767">
        <v>0</v>
      </c>
      <c r="BE352" s="1767">
        <v>0</v>
      </c>
      <c r="BF352" s="1767">
        <v>0</v>
      </c>
      <c r="BG352" s="1767">
        <v>2145.1836274667653</v>
      </c>
      <c r="BH352" s="1767">
        <v>0</v>
      </c>
      <c r="BI352" s="1767">
        <v>0</v>
      </c>
      <c r="BJ352" s="1767">
        <v>0</v>
      </c>
      <c r="BK352" s="1767">
        <v>18023.29</v>
      </c>
      <c r="BL352" s="1767">
        <v>67</v>
      </c>
      <c r="BM352" s="1767"/>
      <c r="BN352" s="1767"/>
      <c r="BO352" s="1767"/>
      <c r="BP352" s="1767"/>
      <c r="BQ352" s="1767"/>
      <c r="BR352" s="1767"/>
      <c r="BS352" s="1767"/>
      <c r="BT352" s="1767"/>
      <c r="BU352" s="1767"/>
      <c r="BV352" s="1767">
        <v>16626.386347619435</v>
      </c>
      <c r="BW352" s="1767"/>
      <c r="BX352" s="1767"/>
      <c r="BY352" s="1767"/>
      <c r="BZ352" s="1767"/>
      <c r="CA352" s="1767"/>
      <c r="CB352" s="1767"/>
      <c r="CC352" s="1767"/>
      <c r="CD352" s="1767"/>
      <c r="CE352" s="1767"/>
      <c r="CF352" s="1767"/>
      <c r="CG352" s="1767"/>
      <c r="CH352" s="1767"/>
      <c r="CI352" s="1767">
        <v>87993.921000000002</v>
      </c>
      <c r="CJ352" s="1767">
        <v>-11839.560299999983</v>
      </c>
      <c r="CK352" s="1767"/>
      <c r="CL352" s="1767"/>
      <c r="CM352" s="1767"/>
      <c r="CN352" s="1767"/>
      <c r="CO352" s="1767">
        <v>-11837.343210000006</v>
      </c>
      <c r="CP352" s="1767">
        <v>0</v>
      </c>
      <c r="CQ352" s="1767">
        <v>31</v>
      </c>
      <c r="CR352" s="1767">
        <v>-912.31235550181736</v>
      </c>
      <c r="CS352" s="1767">
        <v>0</v>
      </c>
      <c r="CT352" s="1767">
        <v>0</v>
      </c>
      <c r="CU352" s="1767">
        <v>0</v>
      </c>
      <c r="CV352" s="1767">
        <v>0</v>
      </c>
      <c r="CW352" s="1767">
        <v>0</v>
      </c>
      <c r="CX352" s="1767">
        <v>0</v>
      </c>
      <c r="CY352" s="1767">
        <v>0</v>
      </c>
      <c r="CZ352" s="1767">
        <v>-69.446968614200159</v>
      </c>
      <c r="DA352" s="1767">
        <v>0</v>
      </c>
      <c r="DB352" s="1767">
        <v>0</v>
      </c>
      <c r="DC352" s="1767">
        <v>0</v>
      </c>
      <c r="DD352" s="1767">
        <v>0</v>
      </c>
      <c r="DE352" s="1767">
        <v>0</v>
      </c>
      <c r="DF352" s="1767">
        <v>0</v>
      </c>
      <c r="DG352" s="1767">
        <v>0</v>
      </c>
      <c r="DH352" s="1767">
        <v>0</v>
      </c>
      <c r="DI352" s="1767">
        <v>-724.59883801865726</v>
      </c>
      <c r="DJ352" s="1767"/>
      <c r="DK352" s="1767">
        <v>0</v>
      </c>
      <c r="DL352" s="1767">
        <v>0</v>
      </c>
      <c r="DM352" s="1767">
        <v>0</v>
      </c>
      <c r="DN352" s="1767">
        <v>0</v>
      </c>
      <c r="DO352" s="1767">
        <v>-96.794571845200835</v>
      </c>
      <c r="DP352" s="1767">
        <v>-21.471977023759194</v>
      </c>
      <c r="DQ352" s="1767">
        <v>0</v>
      </c>
      <c r="DR352" s="1767">
        <v>0</v>
      </c>
      <c r="DS352" s="1767"/>
      <c r="DT352" s="1767"/>
      <c r="DU352" s="1767"/>
      <c r="DV352" s="1767">
        <v>61481.635992570154</v>
      </c>
      <c r="DW352" s="1767">
        <v>0</v>
      </c>
      <c r="DX352" s="1767">
        <v>0</v>
      </c>
      <c r="DY352" s="1767">
        <v>-11837.343210000006</v>
      </c>
      <c r="DZ352" s="1767">
        <v>0</v>
      </c>
      <c r="EA352" s="1767">
        <v>0</v>
      </c>
      <c r="EB352" s="1767">
        <v>0</v>
      </c>
      <c r="EC352" s="1767">
        <v>-10924.915849387689</v>
      </c>
      <c r="ED352" s="1767">
        <v>0</v>
      </c>
      <c r="EE352" s="1767">
        <v>0</v>
      </c>
      <c r="EF352" s="1767">
        <v>0</v>
      </c>
      <c r="EG352" s="1767">
        <v>0</v>
      </c>
      <c r="EH352" s="1767">
        <v>0</v>
      </c>
      <c r="EI352" s="1767">
        <v>0</v>
      </c>
      <c r="EJ352" s="1767">
        <v>0</v>
      </c>
      <c r="EK352" s="1767">
        <v>0</v>
      </c>
      <c r="EL352" s="1767">
        <v>0</v>
      </c>
      <c r="EM352" s="1767">
        <v>0</v>
      </c>
      <c r="EN352" s="1767">
        <v>0</v>
      </c>
      <c r="EO352" s="1767">
        <v>0</v>
      </c>
      <c r="EP352" s="1767">
        <v>0</v>
      </c>
      <c r="EQ352" s="1767">
        <v>0</v>
      </c>
      <c r="ER352" s="1767">
        <v>0</v>
      </c>
      <c r="ES352" s="1767">
        <v>0</v>
      </c>
      <c r="ET352" s="1767">
        <v>0</v>
      </c>
      <c r="EU352" s="1767">
        <v>0</v>
      </c>
      <c r="EV352" s="1767">
        <v>229</v>
      </c>
      <c r="EW352" s="1767">
        <v>0</v>
      </c>
      <c r="EX352" s="1767">
        <v>0</v>
      </c>
      <c r="EY352" s="1767">
        <v>0</v>
      </c>
      <c r="EZ352" s="1767"/>
      <c r="FA352" s="1767">
        <v>0</v>
      </c>
      <c r="FB352" s="1767"/>
      <c r="FC352" s="1767"/>
      <c r="FD352" s="1767"/>
      <c r="FE352" s="1767"/>
      <c r="FF352" s="1767">
        <v>0</v>
      </c>
      <c r="FG352" s="1767">
        <v>0</v>
      </c>
      <c r="FH352" s="1767">
        <v>0</v>
      </c>
      <c r="FI352" s="1767">
        <v>0</v>
      </c>
    </row>
    <row r="353" spans="1:165">
      <c r="A353" s="1767">
        <v>351</v>
      </c>
      <c r="B353" s="1767" t="s">
        <v>2355</v>
      </c>
      <c r="C353" s="1767" t="s">
        <v>2336</v>
      </c>
      <c r="D353" s="1767" t="s">
        <v>1822</v>
      </c>
      <c r="E353" s="1767" t="s">
        <v>888</v>
      </c>
      <c r="F353" s="1767" t="s">
        <v>1237</v>
      </c>
      <c r="G353" s="1767" t="s">
        <v>1237</v>
      </c>
      <c r="H353" s="1767" t="s">
        <v>1237</v>
      </c>
      <c r="I353" s="1767" t="s">
        <v>1237</v>
      </c>
      <c r="J353" s="1767" t="s">
        <v>2337</v>
      </c>
      <c r="K353" s="1768">
        <v>44774</v>
      </c>
      <c r="L353" s="1767">
        <v>0</v>
      </c>
      <c r="M353" s="1767">
        <v>0</v>
      </c>
      <c r="N353" s="1767">
        <v>-0.33900000000000002</v>
      </c>
      <c r="O353" s="1767">
        <v>-0.33900000000000002</v>
      </c>
      <c r="P353" s="1767">
        <v>-0.33900000000000002</v>
      </c>
      <c r="Q353" s="1767">
        <v>-0.33900000000000002</v>
      </c>
      <c r="R353" s="1767"/>
      <c r="S353" s="1767">
        <v>707.13</v>
      </c>
      <c r="T353" s="1767">
        <v>119.97</v>
      </c>
      <c r="U353" s="1767"/>
      <c r="V353" s="1767">
        <v>-280.38690000000003</v>
      </c>
      <c r="W353" s="1767">
        <v>-280.38690000000003</v>
      </c>
      <c r="X353" s="1767">
        <v>-247.14116999999999</v>
      </c>
      <c r="Y353" s="1767">
        <v>0</v>
      </c>
      <c r="Z353" s="1767">
        <v>-20.643364176983393</v>
      </c>
      <c r="AA353" s="1767">
        <v>0</v>
      </c>
      <c r="AB353" s="1767">
        <v>0</v>
      </c>
      <c r="AC353" s="1767">
        <v>0</v>
      </c>
      <c r="AD353" s="1767">
        <v>-36.455792461910889</v>
      </c>
      <c r="AE353" s="1767">
        <v>-172.67403959703805</v>
      </c>
      <c r="AF353" s="1767">
        <v>-40.671132632426335</v>
      </c>
      <c r="AG353" s="1767">
        <v>0</v>
      </c>
      <c r="AH353" s="1767">
        <v>0</v>
      </c>
      <c r="AI353" s="1767">
        <v>0</v>
      </c>
      <c r="AJ353" s="1767">
        <v>0</v>
      </c>
      <c r="AK353" s="1767">
        <v>0</v>
      </c>
      <c r="AL353" s="1767">
        <v>-3.1900665831023574</v>
      </c>
      <c r="AM353" s="1767"/>
      <c r="AN353" s="1767">
        <v>-0.72929027665912227</v>
      </c>
      <c r="AO353" s="1767">
        <v>0</v>
      </c>
      <c r="AP353" s="1767">
        <v>0</v>
      </c>
      <c r="AQ353" s="1767">
        <v>0</v>
      </c>
      <c r="AR353" s="1767">
        <v>0</v>
      </c>
      <c r="AS353" s="1767">
        <v>0</v>
      </c>
      <c r="AT353" s="1767">
        <v>0</v>
      </c>
      <c r="AU353" s="1767">
        <v>0</v>
      </c>
      <c r="AV353" s="1767">
        <v>0</v>
      </c>
      <c r="AW353" s="1767">
        <v>0</v>
      </c>
      <c r="AX353" s="1767">
        <v>0</v>
      </c>
      <c r="AY353" s="1767">
        <v>0</v>
      </c>
      <c r="AZ353" s="1767">
        <v>0</v>
      </c>
      <c r="BA353" s="1767"/>
      <c r="BB353" s="1767">
        <v>0</v>
      </c>
      <c r="BC353" s="1767">
        <v>0</v>
      </c>
      <c r="BD353" s="1767">
        <v>0</v>
      </c>
      <c r="BE353" s="1767">
        <v>0</v>
      </c>
      <c r="BF353" s="1767">
        <v>0</v>
      </c>
      <c r="BG353" s="1767">
        <v>-6.0248481786801769</v>
      </c>
      <c r="BH353" s="1767">
        <v>0</v>
      </c>
      <c r="BI353" s="1767">
        <v>0</v>
      </c>
      <c r="BJ353" s="1767">
        <v>0</v>
      </c>
      <c r="BK353" s="1767">
        <v>-82.38</v>
      </c>
      <c r="BL353" s="1767">
        <v>0</v>
      </c>
      <c r="BM353" s="1767"/>
      <c r="BN353" s="1767"/>
      <c r="BO353" s="1767"/>
      <c r="BP353" s="1767"/>
      <c r="BQ353" s="1767"/>
      <c r="BR353" s="1767"/>
      <c r="BS353" s="1767"/>
      <c r="BT353" s="1767"/>
      <c r="BU353" s="1767"/>
      <c r="BV353" s="1767">
        <v>-46.695980811106509</v>
      </c>
      <c r="BW353" s="1767"/>
      <c r="BX353" s="1767"/>
      <c r="BY353" s="1767"/>
      <c r="BZ353" s="1767"/>
      <c r="CA353" s="1767"/>
      <c r="CB353" s="1767"/>
      <c r="CC353" s="1767"/>
      <c r="CD353" s="1767"/>
      <c r="CE353" s="1767"/>
      <c r="CF353" s="1767"/>
      <c r="CG353" s="1767"/>
      <c r="CH353" s="1767"/>
      <c r="CI353" s="1767">
        <v>-247.87020000000001</v>
      </c>
      <c r="CJ353" s="1767">
        <v>32.486700000000042</v>
      </c>
      <c r="CK353" s="1767"/>
      <c r="CL353" s="1767"/>
      <c r="CM353" s="1767"/>
      <c r="CN353" s="1767"/>
      <c r="CO353" s="1767">
        <v>33.245730000000016</v>
      </c>
      <c r="CP353" s="1767">
        <v>0</v>
      </c>
      <c r="CQ353" s="1767">
        <v>31</v>
      </c>
      <c r="CR353" s="1767">
        <v>2.5622717622189697</v>
      </c>
      <c r="CS353" s="1767">
        <v>0</v>
      </c>
      <c r="CT353" s="1767">
        <v>0</v>
      </c>
      <c r="CU353" s="1767">
        <v>0</v>
      </c>
      <c r="CV353" s="1767">
        <v>0</v>
      </c>
      <c r="CW353" s="1767">
        <v>0</v>
      </c>
      <c r="CX353" s="1767">
        <v>0</v>
      </c>
      <c r="CY353" s="1767">
        <v>0</v>
      </c>
      <c r="CZ353" s="1767">
        <v>0.19504504743224516</v>
      </c>
      <c r="DA353" s="1767">
        <v>0</v>
      </c>
      <c r="DB353" s="1767">
        <v>0</v>
      </c>
      <c r="DC353" s="1767">
        <v>0</v>
      </c>
      <c r="DD353" s="1767">
        <v>0</v>
      </c>
      <c r="DE353" s="1767">
        <v>0</v>
      </c>
      <c r="DF353" s="1767">
        <v>0</v>
      </c>
      <c r="DG353" s="1767">
        <v>0</v>
      </c>
      <c r="DH353" s="1767">
        <v>0</v>
      </c>
      <c r="DI353" s="1767">
        <v>2.0350696013216307</v>
      </c>
      <c r="DJ353" s="1767"/>
      <c r="DK353" s="1767">
        <v>0</v>
      </c>
      <c r="DL353" s="1767">
        <v>0</v>
      </c>
      <c r="DM353" s="1767">
        <v>0</v>
      </c>
      <c r="DN353" s="1767">
        <v>0</v>
      </c>
      <c r="DO353" s="1767">
        <v>0.27185206544595442</v>
      </c>
      <c r="DP353" s="1767">
        <v>6.0305048019140939E-2</v>
      </c>
      <c r="DQ353" s="1767">
        <v>0</v>
      </c>
      <c r="DR353" s="1767">
        <v>0</v>
      </c>
      <c r="DS353" s="1767"/>
      <c r="DT353" s="1767"/>
      <c r="DU353" s="1767"/>
      <c r="DV353" s="1767">
        <v>-172.67403959703805</v>
      </c>
      <c r="DW353" s="1767">
        <v>0</v>
      </c>
      <c r="DX353" s="1767">
        <v>0</v>
      </c>
      <c r="DY353" s="1767">
        <v>33.245730000000009</v>
      </c>
      <c r="DZ353" s="1767">
        <v>0</v>
      </c>
      <c r="EA353" s="1767">
        <v>0</v>
      </c>
      <c r="EB353" s="1767">
        <v>0</v>
      </c>
      <c r="EC353" s="1767">
        <v>30.683135240569214</v>
      </c>
      <c r="ED353" s="1767">
        <v>0</v>
      </c>
      <c r="EE353" s="1767">
        <v>0</v>
      </c>
      <c r="EF353" s="1767">
        <v>0</v>
      </c>
      <c r="EG353" s="1767">
        <v>0</v>
      </c>
      <c r="EH353" s="1767">
        <v>0</v>
      </c>
      <c r="EI353" s="1767">
        <v>0</v>
      </c>
      <c r="EJ353" s="1767">
        <v>0</v>
      </c>
      <c r="EK353" s="1767">
        <v>0</v>
      </c>
      <c r="EL353" s="1767">
        <v>0</v>
      </c>
      <c r="EM353" s="1767">
        <v>0</v>
      </c>
      <c r="EN353" s="1767">
        <v>0</v>
      </c>
      <c r="EO353" s="1767">
        <v>0</v>
      </c>
      <c r="EP353" s="1767">
        <v>0</v>
      </c>
      <c r="EQ353" s="1767">
        <v>0</v>
      </c>
      <c r="ER353" s="1767">
        <v>0</v>
      </c>
      <c r="ES353" s="1767">
        <v>0</v>
      </c>
      <c r="ET353" s="1767">
        <v>0</v>
      </c>
      <c r="EU353" s="1767">
        <v>0</v>
      </c>
      <c r="EV353" s="1767">
        <v>229</v>
      </c>
      <c r="EW353" s="1767">
        <v>0</v>
      </c>
      <c r="EX353" s="1767">
        <v>0</v>
      </c>
      <c r="EY353" s="1767">
        <v>0</v>
      </c>
      <c r="EZ353" s="1767"/>
      <c r="FA353" s="1767">
        <v>0</v>
      </c>
      <c r="FB353" s="1767"/>
      <c r="FC353" s="1767"/>
      <c r="FD353" s="1767"/>
      <c r="FE353" s="1767"/>
      <c r="FF353" s="1767">
        <v>0</v>
      </c>
      <c r="FG353" s="1767">
        <v>0</v>
      </c>
      <c r="FH353" s="1767">
        <v>0</v>
      </c>
      <c r="FI353" s="1767">
        <v>0</v>
      </c>
    </row>
    <row r="354" spans="1:165">
      <c r="A354" s="1767">
        <v>352</v>
      </c>
      <c r="B354" s="1767" t="s">
        <v>2355</v>
      </c>
      <c r="C354" s="1767" t="s">
        <v>2336</v>
      </c>
      <c r="D354" s="1767" t="s">
        <v>1822</v>
      </c>
      <c r="E354" s="1767" t="s">
        <v>888</v>
      </c>
      <c r="F354" s="1767" t="s">
        <v>1237</v>
      </c>
      <c r="G354" s="1767" t="s">
        <v>1237</v>
      </c>
      <c r="H354" s="1767" t="s">
        <v>1237</v>
      </c>
      <c r="I354" s="1767" t="s">
        <v>1237</v>
      </c>
      <c r="J354" s="1767" t="s">
        <v>2337</v>
      </c>
      <c r="K354" s="1768">
        <v>44774</v>
      </c>
      <c r="L354" s="1767">
        <v>0</v>
      </c>
      <c r="M354" s="1767">
        <v>0</v>
      </c>
      <c r="N354" s="1767">
        <v>2.363</v>
      </c>
      <c r="O354" s="1767">
        <v>2.363</v>
      </c>
      <c r="P354" s="1767">
        <v>2.363</v>
      </c>
      <c r="Q354" s="1767">
        <v>2.363</v>
      </c>
      <c r="R354" s="1767"/>
      <c r="S354" s="1767">
        <v>707.13</v>
      </c>
      <c r="T354" s="1767">
        <v>119.97</v>
      </c>
      <c r="U354" s="1767"/>
      <c r="V354" s="1767">
        <v>1954.4373000000001</v>
      </c>
      <c r="W354" s="1767">
        <v>1954.4373000000001</v>
      </c>
      <c r="X354" s="1767">
        <v>1722.6978899999999</v>
      </c>
      <c r="Y354" s="1767">
        <v>0</v>
      </c>
      <c r="Z354" s="1767">
        <v>143.89460044310252</v>
      </c>
      <c r="AA354" s="1767">
        <v>0</v>
      </c>
      <c r="AB354" s="1767">
        <v>0</v>
      </c>
      <c r="AC354" s="1767">
        <v>0</v>
      </c>
      <c r="AD354" s="1767">
        <v>254.11515512535522</v>
      </c>
      <c r="AE354" s="1767">
        <v>1203.6246476926278</v>
      </c>
      <c r="AF354" s="1767">
        <v>283.49819000124904</v>
      </c>
      <c r="AG354" s="1767">
        <v>0</v>
      </c>
      <c r="AH354" s="1767">
        <v>0</v>
      </c>
      <c r="AI354" s="1767">
        <v>0</v>
      </c>
      <c r="AJ354" s="1767">
        <v>0</v>
      </c>
      <c r="AK354" s="1767">
        <v>0</v>
      </c>
      <c r="AL354" s="1767">
        <v>22.236363822627933</v>
      </c>
      <c r="AM354" s="1767"/>
      <c r="AN354" s="1767">
        <v>5.0835189491017871</v>
      </c>
      <c r="AO354" s="1767">
        <v>0</v>
      </c>
      <c r="AP354" s="1767">
        <v>0</v>
      </c>
      <c r="AQ354" s="1767">
        <v>0</v>
      </c>
      <c r="AR354" s="1767">
        <v>0</v>
      </c>
      <c r="AS354" s="1767">
        <v>0</v>
      </c>
      <c r="AT354" s="1767">
        <v>0</v>
      </c>
      <c r="AU354" s="1767">
        <v>0</v>
      </c>
      <c r="AV354" s="1767">
        <v>0</v>
      </c>
      <c r="AW354" s="1767">
        <v>0</v>
      </c>
      <c r="AX354" s="1767">
        <v>0</v>
      </c>
      <c r="AY354" s="1767">
        <v>0</v>
      </c>
      <c r="AZ354" s="1767">
        <v>0</v>
      </c>
      <c r="BA354" s="1767"/>
      <c r="BB354" s="1767">
        <v>0</v>
      </c>
      <c r="BC354" s="1767">
        <v>0</v>
      </c>
      <c r="BD354" s="1767">
        <v>0</v>
      </c>
      <c r="BE354" s="1767">
        <v>0</v>
      </c>
      <c r="BF354" s="1767">
        <v>0</v>
      </c>
      <c r="BG354" s="1767">
        <v>41.996213115696925</v>
      </c>
      <c r="BH354" s="1767">
        <v>0</v>
      </c>
      <c r="BI354" s="1767">
        <v>0</v>
      </c>
      <c r="BJ354" s="1767">
        <v>0</v>
      </c>
      <c r="BK354" s="1767">
        <v>696.41</v>
      </c>
      <c r="BL354" s="1767">
        <v>2</v>
      </c>
      <c r="BM354" s="1767"/>
      <c r="BN354" s="1767"/>
      <c r="BO354" s="1767"/>
      <c r="BP354" s="1767"/>
      <c r="BQ354" s="1767"/>
      <c r="BR354" s="1767"/>
      <c r="BS354" s="1767"/>
      <c r="BT354" s="1767"/>
      <c r="BU354" s="1767"/>
      <c r="BV354" s="1767">
        <v>325.49440311694599</v>
      </c>
      <c r="BW354" s="1767"/>
      <c r="BX354" s="1767"/>
      <c r="BY354" s="1767"/>
      <c r="BZ354" s="1767"/>
      <c r="CA354" s="1767"/>
      <c r="CB354" s="1767"/>
      <c r="CC354" s="1767"/>
      <c r="CD354" s="1767"/>
      <c r="CE354" s="1767"/>
      <c r="CF354" s="1767"/>
      <c r="CG354" s="1767"/>
      <c r="CH354" s="1767"/>
      <c r="CI354" s="1767">
        <v>1720.5107999999996</v>
      </c>
      <c r="CJ354" s="1767">
        <v>-233.95650000000046</v>
      </c>
      <c r="CK354" s="1767"/>
      <c r="CL354" s="1767"/>
      <c r="CM354" s="1767"/>
      <c r="CN354" s="1767"/>
      <c r="CO354" s="1767">
        <v>-231.73941000000011</v>
      </c>
      <c r="CP354" s="1767">
        <v>0</v>
      </c>
      <c r="CQ354" s="1767">
        <v>31</v>
      </c>
      <c r="CR354" s="1767">
        <v>-17.860319097709407</v>
      </c>
      <c r="CS354" s="1767">
        <v>0</v>
      </c>
      <c r="CT354" s="1767">
        <v>0</v>
      </c>
      <c r="CU354" s="1767">
        <v>0</v>
      </c>
      <c r="CV354" s="1767">
        <v>0</v>
      </c>
      <c r="CW354" s="1767">
        <v>0</v>
      </c>
      <c r="CX354" s="1767">
        <v>0</v>
      </c>
      <c r="CY354" s="1767">
        <v>0</v>
      </c>
      <c r="CZ354" s="1767">
        <v>-1.3595617908034967</v>
      </c>
      <c r="DA354" s="1767">
        <v>0</v>
      </c>
      <c r="DB354" s="1767">
        <v>0</v>
      </c>
      <c r="DC354" s="1767">
        <v>0</v>
      </c>
      <c r="DD354" s="1767">
        <v>0</v>
      </c>
      <c r="DE354" s="1767">
        <v>0</v>
      </c>
      <c r="DF354" s="1767">
        <v>0</v>
      </c>
      <c r="DG354" s="1767">
        <v>0</v>
      </c>
      <c r="DH354" s="1767">
        <v>0</v>
      </c>
      <c r="DI354" s="1767">
        <v>-14.185455657590012</v>
      </c>
      <c r="DJ354" s="1767"/>
      <c r="DK354" s="1767">
        <v>0</v>
      </c>
      <c r="DL354" s="1767">
        <v>0</v>
      </c>
      <c r="DM354" s="1767">
        <v>0</v>
      </c>
      <c r="DN354" s="1767">
        <v>0</v>
      </c>
      <c r="DO354" s="1767">
        <v>-1.8949452231527708</v>
      </c>
      <c r="DP354" s="1767">
        <v>-0.42035642616292002</v>
      </c>
      <c r="DQ354" s="1767">
        <v>0</v>
      </c>
      <c r="DR354" s="1767">
        <v>0</v>
      </c>
      <c r="DS354" s="1767"/>
      <c r="DT354" s="1767"/>
      <c r="DU354" s="1767"/>
      <c r="DV354" s="1767">
        <v>1203.6246476926278</v>
      </c>
      <c r="DW354" s="1767">
        <v>0</v>
      </c>
      <c r="DX354" s="1767">
        <v>0</v>
      </c>
      <c r="DY354" s="1767">
        <v>-231.73941000000013</v>
      </c>
      <c r="DZ354" s="1767">
        <v>0</v>
      </c>
      <c r="EA354" s="1767">
        <v>0</v>
      </c>
      <c r="EB354" s="1767">
        <v>0</v>
      </c>
      <c r="EC354" s="1767">
        <v>-213.87683944974935</v>
      </c>
      <c r="ED354" s="1767">
        <v>0</v>
      </c>
      <c r="EE354" s="1767">
        <v>0</v>
      </c>
      <c r="EF354" s="1767">
        <v>0</v>
      </c>
      <c r="EG354" s="1767">
        <v>0</v>
      </c>
      <c r="EH354" s="1767">
        <v>0</v>
      </c>
      <c r="EI354" s="1767">
        <v>0</v>
      </c>
      <c r="EJ354" s="1767">
        <v>0</v>
      </c>
      <c r="EK354" s="1767">
        <v>0</v>
      </c>
      <c r="EL354" s="1767">
        <v>0</v>
      </c>
      <c r="EM354" s="1767">
        <v>0</v>
      </c>
      <c r="EN354" s="1767">
        <v>0</v>
      </c>
      <c r="EO354" s="1767">
        <v>0</v>
      </c>
      <c r="EP354" s="1767">
        <v>0</v>
      </c>
      <c r="EQ354" s="1767">
        <v>0</v>
      </c>
      <c r="ER354" s="1767">
        <v>0</v>
      </c>
      <c r="ES354" s="1767">
        <v>0</v>
      </c>
      <c r="ET354" s="1767">
        <v>0</v>
      </c>
      <c r="EU354" s="1767">
        <v>0</v>
      </c>
      <c r="EV354" s="1767">
        <v>229</v>
      </c>
      <c r="EW354" s="1767">
        <v>0</v>
      </c>
      <c r="EX354" s="1767">
        <v>0</v>
      </c>
      <c r="EY354" s="1767">
        <v>0</v>
      </c>
      <c r="EZ354" s="1767"/>
      <c r="FA354" s="1767">
        <v>0</v>
      </c>
      <c r="FB354" s="1767"/>
      <c r="FC354" s="1767"/>
      <c r="FD354" s="1767"/>
      <c r="FE354" s="1767"/>
      <c r="FF354" s="1767">
        <v>0</v>
      </c>
      <c r="FG354" s="1767">
        <v>0</v>
      </c>
      <c r="FH354" s="1767">
        <v>0</v>
      </c>
      <c r="FI354" s="1767">
        <v>0</v>
      </c>
    </row>
    <row r="355" spans="1:165">
      <c r="A355" s="1767">
        <v>353</v>
      </c>
      <c r="B355" s="1767" t="s">
        <v>2355</v>
      </c>
      <c r="C355" s="1767" t="s">
        <v>2344</v>
      </c>
      <c r="D355" s="1767" t="s">
        <v>533</v>
      </c>
      <c r="E355" s="1767" t="s">
        <v>888</v>
      </c>
      <c r="F355" s="1767" t="s">
        <v>1237</v>
      </c>
      <c r="G355" s="1767" t="s">
        <v>1237</v>
      </c>
      <c r="H355" s="1767" t="s">
        <v>1237</v>
      </c>
      <c r="I355" s="1767" t="s">
        <v>891</v>
      </c>
      <c r="J355" s="1767" t="s">
        <v>2337</v>
      </c>
      <c r="K355" s="1768">
        <v>44774</v>
      </c>
      <c r="L355" s="1767">
        <v>0</v>
      </c>
      <c r="M355" s="1767">
        <v>0</v>
      </c>
      <c r="N355" s="1767">
        <v>99.21</v>
      </c>
      <c r="O355" s="1767">
        <v>99.21</v>
      </c>
      <c r="P355" s="1767">
        <v>99.21</v>
      </c>
      <c r="Q355" s="1767">
        <v>99.21</v>
      </c>
      <c r="R355" s="1767"/>
      <c r="S355" s="1767">
        <v>3312.96</v>
      </c>
      <c r="T355" s="1767">
        <v>119.97</v>
      </c>
      <c r="U355" s="1767"/>
      <c r="V355" s="1767">
        <v>340580.98529999994</v>
      </c>
      <c r="W355" s="1767">
        <v>340580.98529999994</v>
      </c>
      <c r="X355" s="1767">
        <v>295626.95009999996</v>
      </c>
      <c r="Y355" s="1767">
        <v>0</v>
      </c>
      <c r="Z355" s="1767">
        <v>5256.0014725625761</v>
      </c>
      <c r="AA355" s="1767">
        <v>0</v>
      </c>
      <c r="AB355" s="1767">
        <v>0</v>
      </c>
      <c r="AC355" s="1767">
        <v>0</v>
      </c>
      <c r="AD355" s="1767">
        <v>74173.265635505566</v>
      </c>
      <c r="AE355" s="1767">
        <v>247349.46034520431</v>
      </c>
      <c r="AF355" s="1767">
        <v>11902.604921719811</v>
      </c>
      <c r="AG355" s="1767">
        <v>0</v>
      </c>
      <c r="AH355" s="1767">
        <v>0</v>
      </c>
      <c r="AI355" s="1767">
        <v>0</v>
      </c>
      <c r="AJ355" s="1767">
        <v>0</v>
      </c>
      <c r="AK355" s="1767">
        <v>0</v>
      </c>
      <c r="AL355" s="1767">
        <v>933.58851241765433</v>
      </c>
      <c r="AM355" s="1767"/>
      <c r="AN355" s="1767">
        <v>83.409020981175388</v>
      </c>
      <c r="AO355" s="1767">
        <v>0</v>
      </c>
      <c r="AP355" s="1767">
        <v>0</v>
      </c>
      <c r="AQ355" s="1767">
        <v>0</v>
      </c>
      <c r="AR355" s="1767">
        <v>0</v>
      </c>
      <c r="AS355" s="1767">
        <v>0</v>
      </c>
      <c r="AT355" s="1767">
        <v>0</v>
      </c>
      <c r="AU355" s="1767">
        <v>0</v>
      </c>
      <c r="AV355" s="1767">
        <v>0</v>
      </c>
      <c r="AW355" s="1767">
        <v>0</v>
      </c>
      <c r="AX355" s="1767">
        <v>0</v>
      </c>
      <c r="AY355" s="1767">
        <v>0</v>
      </c>
      <c r="AZ355" s="1767">
        <v>0</v>
      </c>
      <c r="BA355" s="1767"/>
      <c r="BB355" s="1767">
        <v>0</v>
      </c>
      <c r="BC355" s="1767">
        <v>0</v>
      </c>
      <c r="BD355" s="1767">
        <v>0</v>
      </c>
      <c r="BE355" s="1767">
        <v>0</v>
      </c>
      <c r="BF355" s="1767">
        <v>0</v>
      </c>
      <c r="BG355" s="1767">
        <v>883.35070104128874</v>
      </c>
      <c r="BH355" s="1767">
        <v>0</v>
      </c>
      <c r="BI355" s="1767">
        <v>0</v>
      </c>
      <c r="BJ355" s="1767">
        <v>0</v>
      </c>
      <c r="BK355" s="1767">
        <v>0</v>
      </c>
      <c r="BL355" s="1767">
        <v>0</v>
      </c>
      <c r="BM355" s="1767"/>
      <c r="BN355" s="1767"/>
      <c r="BO355" s="1767"/>
      <c r="BP355" s="1767"/>
      <c r="BQ355" s="1767"/>
      <c r="BR355" s="1767"/>
      <c r="BS355" s="1767"/>
      <c r="BT355" s="1767"/>
      <c r="BU355" s="1767"/>
      <c r="BV355" s="1767">
        <v>12785.955622761099</v>
      </c>
      <c r="BW355" s="1767"/>
      <c r="BX355" s="1767"/>
      <c r="BY355" s="1767"/>
      <c r="BZ355" s="1767"/>
      <c r="CA355" s="1767"/>
      <c r="CB355" s="1767"/>
      <c r="CC355" s="1767"/>
      <c r="CD355" s="1767"/>
      <c r="CE355" s="1767"/>
      <c r="CF355" s="1767"/>
      <c r="CG355" s="1767"/>
      <c r="CH355" s="1767"/>
      <c r="CI355" s="1767">
        <v>295626.95009999996</v>
      </c>
      <c r="CJ355" s="1767">
        <v>-44954.065200000012</v>
      </c>
      <c r="CK355" s="1767"/>
      <c r="CL355" s="1767"/>
      <c r="CM355" s="1767"/>
      <c r="CN355" s="1767"/>
      <c r="CO355" s="1767">
        <v>-44954.035199999984</v>
      </c>
      <c r="CP355" s="1767">
        <v>0</v>
      </c>
      <c r="CQ355" s="1767">
        <v>31</v>
      </c>
      <c r="CR355" s="1767">
        <v>-1001.4447706143837</v>
      </c>
      <c r="CS355" s="1767">
        <v>0</v>
      </c>
      <c r="CT355" s="1767">
        <v>0</v>
      </c>
      <c r="CU355" s="1767">
        <v>0</v>
      </c>
      <c r="CV355" s="1767">
        <v>0</v>
      </c>
      <c r="CW355" s="1767">
        <v>0</v>
      </c>
      <c r="CX355" s="1767">
        <v>0</v>
      </c>
      <c r="CY355" s="1767">
        <v>0</v>
      </c>
      <c r="CZ355" s="1767">
        <v>-396.84031362661335</v>
      </c>
      <c r="DA355" s="1767">
        <v>0</v>
      </c>
      <c r="DB355" s="1767">
        <v>0</v>
      </c>
      <c r="DC355" s="1767">
        <v>0</v>
      </c>
      <c r="DD355" s="1767">
        <v>0</v>
      </c>
      <c r="DE355" s="1767">
        <v>0</v>
      </c>
      <c r="DF355" s="1767">
        <v>0</v>
      </c>
      <c r="DG355" s="1767">
        <v>0</v>
      </c>
      <c r="DH355" s="1767">
        <v>0</v>
      </c>
      <c r="DI355" s="1767">
        <v>-518.14853090853103</v>
      </c>
      <c r="DJ355" s="1767"/>
      <c r="DK355" s="1767">
        <v>0</v>
      </c>
      <c r="DL355" s="1767">
        <v>0</v>
      </c>
      <c r="DM355" s="1767">
        <v>0</v>
      </c>
      <c r="DN355" s="1767">
        <v>0</v>
      </c>
      <c r="DO355" s="1767">
        <v>-79.558830126528392</v>
      </c>
      <c r="DP355" s="1767">
        <v>-6.8970959527138973</v>
      </c>
      <c r="DQ355" s="1767">
        <v>0</v>
      </c>
      <c r="DR355" s="1767">
        <v>0</v>
      </c>
      <c r="DS355" s="1767"/>
      <c r="DT355" s="1767"/>
      <c r="DU355" s="1767"/>
      <c r="DV355" s="1767">
        <v>247349.46034520431</v>
      </c>
      <c r="DW355" s="1767">
        <v>0</v>
      </c>
      <c r="DX355" s="1767">
        <v>0</v>
      </c>
      <c r="DY355" s="1767">
        <v>-44954.035199999984</v>
      </c>
      <c r="DZ355" s="1767">
        <v>0</v>
      </c>
      <c r="EA355" s="1767">
        <v>0</v>
      </c>
      <c r="EB355" s="1767">
        <v>0</v>
      </c>
      <c r="EC355" s="1767">
        <v>-43952.507054128422</v>
      </c>
      <c r="ED355" s="1767">
        <v>0</v>
      </c>
      <c r="EE355" s="1767">
        <v>0</v>
      </c>
      <c r="EF355" s="1767">
        <v>0</v>
      </c>
      <c r="EG355" s="1767">
        <v>0</v>
      </c>
      <c r="EH355" s="1767">
        <v>0</v>
      </c>
      <c r="EI355" s="1767">
        <v>0</v>
      </c>
      <c r="EJ355" s="1767">
        <v>0</v>
      </c>
      <c r="EK355" s="1767">
        <v>0</v>
      </c>
      <c r="EL355" s="1767">
        <v>0</v>
      </c>
      <c r="EM355" s="1767">
        <v>0</v>
      </c>
      <c r="EN355" s="1767">
        <v>0</v>
      </c>
      <c r="EO355" s="1767">
        <v>0</v>
      </c>
      <c r="EP355" s="1767">
        <v>0</v>
      </c>
      <c r="EQ355" s="1767">
        <v>0</v>
      </c>
      <c r="ER355" s="1767">
        <v>0</v>
      </c>
      <c r="ES355" s="1767">
        <v>0</v>
      </c>
      <c r="ET355" s="1767">
        <v>0</v>
      </c>
      <c r="EU355" s="1767">
        <v>0</v>
      </c>
      <c r="EV355" s="1767">
        <v>229</v>
      </c>
      <c r="EW355" s="1767">
        <v>0</v>
      </c>
      <c r="EX355" s="1767">
        <v>0</v>
      </c>
      <c r="EY355" s="1767">
        <v>0</v>
      </c>
      <c r="EZ355" s="1767"/>
      <c r="FA355" s="1767">
        <v>0</v>
      </c>
      <c r="FB355" s="1767"/>
      <c r="FC355" s="1767"/>
      <c r="FD355" s="1767"/>
      <c r="FE355" s="1767"/>
      <c r="FF355" s="1767">
        <v>0</v>
      </c>
      <c r="FG355" s="1767">
        <v>0</v>
      </c>
      <c r="FH355" s="1767">
        <v>0</v>
      </c>
      <c r="FI355" s="1767">
        <v>0</v>
      </c>
    </row>
    <row r="356" spans="1:165">
      <c r="A356" s="1767">
        <v>354</v>
      </c>
      <c r="B356" s="1767" t="s">
        <v>2355</v>
      </c>
      <c r="C356" s="1767" t="s">
        <v>2344</v>
      </c>
      <c r="D356" s="1767" t="s">
        <v>533</v>
      </c>
      <c r="E356" s="1767" t="s">
        <v>888</v>
      </c>
      <c r="F356" s="1767" t="s">
        <v>1237</v>
      </c>
      <c r="G356" s="1767" t="s">
        <v>1237</v>
      </c>
      <c r="H356" s="1767" t="s">
        <v>1237</v>
      </c>
      <c r="I356" s="1767" t="s">
        <v>891</v>
      </c>
      <c r="J356" s="1767" t="s">
        <v>2337</v>
      </c>
      <c r="K356" s="1768">
        <v>44774</v>
      </c>
      <c r="L356" s="1767">
        <v>0</v>
      </c>
      <c r="M356" s="1767">
        <v>0</v>
      </c>
      <c r="N356" s="1767">
        <v>2.9039999999999999</v>
      </c>
      <c r="O356" s="1767">
        <v>2.9039999999999999</v>
      </c>
      <c r="P356" s="1767">
        <v>2.9039999999999999</v>
      </c>
      <c r="Q356" s="1767">
        <v>2.9039999999999999</v>
      </c>
      <c r="R356" s="1767"/>
      <c r="S356" s="1767">
        <v>3312.96</v>
      </c>
      <c r="T356" s="1767">
        <v>119.97</v>
      </c>
      <c r="U356" s="1767"/>
      <c r="V356" s="1767">
        <v>9969.2287199999992</v>
      </c>
      <c r="W356" s="1767">
        <v>9969.2287199999992</v>
      </c>
      <c r="X356" s="1767">
        <v>8653.3682399999998</v>
      </c>
      <c r="Y356" s="1767">
        <v>0</v>
      </c>
      <c r="Z356" s="1767">
        <v>153.84969535653383</v>
      </c>
      <c r="AA356" s="1767">
        <v>0</v>
      </c>
      <c r="AB356" s="1767">
        <v>0</v>
      </c>
      <c r="AC356" s="1767">
        <v>0</v>
      </c>
      <c r="AD356" s="1767">
        <v>2171.1436690405017</v>
      </c>
      <c r="AE356" s="1767">
        <v>7240.2261147311092</v>
      </c>
      <c r="AF356" s="1767">
        <v>348.4040388335282</v>
      </c>
      <c r="AG356" s="1767">
        <v>0</v>
      </c>
      <c r="AH356" s="1767">
        <v>0</v>
      </c>
      <c r="AI356" s="1767">
        <v>0</v>
      </c>
      <c r="AJ356" s="1767">
        <v>0</v>
      </c>
      <c r="AK356" s="1767">
        <v>0</v>
      </c>
      <c r="AL356" s="1767">
        <v>27.327296039319307</v>
      </c>
      <c r="AM356" s="1767"/>
      <c r="AN356" s="1767">
        <v>2.4414857063736854</v>
      </c>
      <c r="AO356" s="1767">
        <v>0</v>
      </c>
      <c r="AP356" s="1767">
        <v>0</v>
      </c>
      <c r="AQ356" s="1767">
        <v>0</v>
      </c>
      <c r="AR356" s="1767">
        <v>0</v>
      </c>
      <c r="AS356" s="1767">
        <v>0</v>
      </c>
      <c r="AT356" s="1767">
        <v>0</v>
      </c>
      <c r="AU356" s="1767">
        <v>0</v>
      </c>
      <c r="AV356" s="1767">
        <v>0</v>
      </c>
      <c r="AW356" s="1767">
        <v>0</v>
      </c>
      <c r="AX356" s="1767">
        <v>0</v>
      </c>
      <c r="AY356" s="1767">
        <v>0</v>
      </c>
      <c r="AZ356" s="1767">
        <v>0</v>
      </c>
      <c r="BA356" s="1767"/>
      <c r="BB356" s="1767">
        <v>0</v>
      </c>
      <c r="BC356" s="1767">
        <v>0</v>
      </c>
      <c r="BD356" s="1767">
        <v>0</v>
      </c>
      <c r="BE356" s="1767">
        <v>0</v>
      </c>
      <c r="BF356" s="1767">
        <v>0</v>
      </c>
      <c r="BG356" s="1767">
        <v>25.856772863863547</v>
      </c>
      <c r="BH356" s="1767">
        <v>0</v>
      </c>
      <c r="BI356" s="1767">
        <v>0</v>
      </c>
      <c r="BJ356" s="1767">
        <v>0</v>
      </c>
      <c r="BK356" s="1767">
        <v>0</v>
      </c>
      <c r="BL356" s="1767">
        <v>0</v>
      </c>
      <c r="BM356" s="1767"/>
      <c r="BN356" s="1767"/>
      <c r="BO356" s="1767"/>
      <c r="BP356" s="1767"/>
      <c r="BQ356" s="1767"/>
      <c r="BR356" s="1767"/>
      <c r="BS356" s="1767"/>
      <c r="BT356" s="1767"/>
      <c r="BU356" s="1767"/>
      <c r="BV356" s="1767">
        <v>374.26081169739177</v>
      </c>
      <c r="BW356" s="1767"/>
      <c r="BX356" s="1767"/>
      <c r="BY356" s="1767"/>
      <c r="BZ356" s="1767"/>
      <c r="CA356" s="1767"/>
      <c r="CB356" s="1767"/>
      <c r="CC356" s="1767"/>
      <c r="CD356" s="1767"/>
      <c r="CE356" s="1767"/>
      <c r="CF356" s="1767"/>
      <c r="CG356" s="1767"/>
      <c r="CH356" s="1767"/>
      <c r="CI356" s="1767">
        <v>8641.4490000000005</v>
      </c>
      <c r="CJ356" s="1767">
        <v>-1327.8097199999993</v>
      </c>
      <c r="CK356" s="1767"/>
      <c r="CL356" s="1767"/>
      <c r="CM356" s="1767"/>
      <c r="CN356" s="1767"/>
      <c r="CO356" s="1767">
        <v>-1315.8604799999996</v>
      </c>
      <c r="CP356" s="1767">
        <v>0</v>
      </c>
      <c r="CQ356" s="1767">
        <v>31</v>
      </c>
      <c r="CR356" s="1767">
        <v>-29.313533049734815</v>
      </c>
      <c r="CS356" s="1767">
        <v>0</v>
      </c>
      <c r="CT356" s="1767">
        <v>0</v>
      </c>
      <c r="CU356" s="1767">
        <v>0</v>
      </c>
      <c r="CV356" s="1767">
        <v>0</v>
      </c>
      <c r="CW356" s="1767">
        <v>0</v>
      </c>
      <c r="CX356" s="1767">
        <v>0</v>
      </c>
      <c r="CY356" s="1767">
        <v>0</v>
      </c>
      <c r="CZ356" s="1767">
        <v>-11.616009180240781</v>
      </c>
      <c r="DA356" s="1767">
        <v>0</v>
      </c>
      <c r="DB356" s="1767">
        <v>0</v>
      </c>
      <c r="DC356" s="1767">
        <v>0</v>
      </c>
      <c r="DD356" s="1767">
        <v>0</v>
      </c>
      <c r="DE356" s="1767">
        <v>0</v>
      </c>
      <c r="DF356" s="1767">
        <v>0</v>
      </c>
      <c r="DG356" s="1767">
        <v>0</v>
      </c>
      <c r="DH356" s="1767">
        <v>0</v>
      </c>
      <c r="DI356" s="1767">
        <v>-15.16685146415054</v>
      </c>
      <c r="DJ356" s="1767"/>
      <c r="DK356" s="1767">
        <v>0</v>
      </c>
      <c r="DL356" s="1767">
        <v>0</v>
      </c>
      <c r="DM356" s="1767">
        <v>0</v>
      </c>
      <c r="DN356" s="1767">
        <v>0</v>
      </c>
      <c r="DO356" s="1767">
        <v>-2.3287858349706561</v>
      </c>
      <c r="DP356" s="1767">
        <v>-0.20188657037275659</v>
      </c>
      <c r="DQ356" s="1767">
        <v>0</v>
      </c>
      <c r="DR356" s="1767">
        <v>0</v>
      </c>
      <c r="DS356" s="1767"/>
      <c r="DT356" s="1767"/>
      <c r="DU356" s="1767"/>
      <c r="DV356" s="1767">
        <v>7240.2261147311092</v>
      </c>
      <c r="DW356" s="1767">
        <v>0</v>
      </c>
      <c r="DX356" s="1767">
        <v>0</v>
      </c>
      <c r="DY356" s="1767">
        <v>-1315.8604799999994</v>
      </c>
      <c r="DZ356" s="1767">
        <v>0</v>
      </c>
      <c r="EA356" s="1767">
        <v>0</v>
      </c>
      <c r="EB356" s="1767">
        <v>0</v>
      </c>
      <c r="EC356" s="1767">
        <v>-1286.5445064528676</v>
      </c>
      <c r="ED356" s="1767">
        <v>0</v>
      </c>
      <c r="EE356" s="1767">
        <v>0</v>
      </c>
      <c r="EF356" s="1767">
        <v>0</v>
      </c>
      <c r="EG356" s="1767">
        <v>0</v>
      </c>
      <c r="EH356" s="1767">
        <v>0</v>
      </c>
      <c r="EI356" s="1767">
        <v>0</v>
      </c>
      <c r="EJ356" s="1767">
        <v>0</v>
      </c>
      <c r="EK356" s="1767">
        <v>0</v>
      </c>
      <c r="EL356" s="1767">
        <v>0</v>
      </c>
      <c r="EM356" s="1767">
        <v>0</v>
      </c>
      <c r="EN356" s="1767">
        <v>0</v>
      </c>
      <c r="EO356" s="1767">
        <v>0</v>
      </c>
      <c r="EP356" s="1767">
        <v>0</v>
      </c>
      <c r="EQ356" s="1767">
        <v>0</v>
      </c>
      <c r="ER356" s="1767">
        <v>0</v>
      </c>
      <c r="ES356" s="1767">
        <v>0</v>
      </c>
      <c r="ET356" s="1767">
        <v>0</v>
      </c>
      <c r="EU356" s="1767">
        <v>0</v>
      </c>
      <c r="EV356" s="1767">
        <v>229</v>
      </c>
      <c r="EW356" s="1767">
        <v>0</v>
      </c>
      <c r="EX356" s="1767">
        <v>0</v>
      </c>
      <c r="EY356" s="1767">
        <v>0</v>
      </c>
      <c r="EZ356" s="1767"/>
      <c r="FA356" s="1767">
        <v>0</v>
      </c>
      <c r="FB356" s="1767"/>
      <c r="FC356" s="1767"/>
      <c r="FD356" s="1767"/>
      <c r="FE356" s="1767"/>
      <c r="FF356" s="1767">
        <v>0</v>
      </c>
      <c r="FG356" s="1767">
        <v>0</v>
      </c>
      <c r="FH356" s="1767">
        <v>0</v>
      </c>
      <c r="FI356" s="1767">
        <v>0</v>
      </c>
    </row>
    <row r="357" spans="1:165">
      <c r="A357" s="1767">
        <v>355</v>
      </c>
      <c r="B357" s="1767" t="s">
        <v>2355</v>
      </c>
      <c r="C357" s="1767" t="s">
        <v>2344</v>
      </c>
      <c r="D357" s="1767" t="s">
        <v>533</v>
      </c>
      <c r="E357" s="1767" t="s">
        <v>888</v>
      </c>
      <c r="F357" s="1767" t="s">
        <v>1237</v>
      </c>
      <c r="G357" s="1767" t="s">
        <v>1237</v>
      </c>
      <c r="H357" s="1767" t="s">
        <v>1237</v>
      </c>
      <c r="I357" s="1767" t="s">
        <v>2322</v>
      </c>
      <c r="J357" s="1767" t="s">
        <v>2337</v>
      </c>
      <c r="K357" s="1768">
        <v>44774</v>
      </c>
      <c r="L357" s="1767">
        <v>0</v>
      </c>
      <c r="M357" s="1767">
        <v>0</v>
      </c>
      <c r="N357" s="1767">
        <v>2235.3539999999998</v>
      </c>
      <c r="O357" s="1767">
        <v>2235.3539999999998</v>
      </c>
      <c r="P357" s="1767">
        <v>2235.3539999999998</v>
      </c>
      <c r="Q357" s="1767">
        <v>2235.3539999999998</v>
      </c>
      <c r="R357" s="1767"/>
      <c r="S357" s="1767">
        <v>72.13</v>
      </c>
      <c r="T357" s="1767">
        <v>119.97</v>
      </c>
      <c r="U357" s="1767"/>
      <c r="V357" s="1767">
        <v>429411.50339999993</v>
      </c>
      <c r="W357" s="1767">
        <v>429411.50339999993</v>
      </c>
      <c r="X357" s="1767">
        <v>415798.19753999996</v>
      </c>
      <c r="Y357" s="1767">
        <v>0</v>
      </c>
      <c r="Z357" s="1767">
        <v>118425.80300069191</v>
      </c>
      <c r="AA357" s="1767">
        <v>0</v>
      </c>
      <c r="AB357" s="1767">
        <v>0</v>
      </c>
      <c r="AC357" s="1767">
        <v>0</v>
      </c>
      <c r="AD357" s="1767">
        <v>0</v>
      </c>
      <c r="AE357" s="1767">
        <v>0</v>
      </c>
      <c r="AF357" s="1767">
        <v>268184.00889210834</v>
      </c>
      <c r="AG357" s="1767">
        <v>0</v>
      </c>
      <c r="AH357" s="1767">
        <v>0</v>
      </c>
      <c r="AI357" s="1767">
        <v>0</v>
      </c>
      <c r="AJ357" s="1767">
        <v>0</v>
      </c>
      <c r="AK357" s="1767">
        <v>0</v>
      </c>
      <c r="AL357" s="1767">
        <v>21035.186126266035</v>
      </c>
      <c r="AM357" s="1767"/>
      <c r="AN357" s="1767">
        <v>1879.3336224811442</v>
      </c>
      <c r="AO357" s="1767">
        <v>0</v>
      </c>
      <c r="AP357" s="1767">
        <v>0</v>
      </c>
      <c r="AQ357" s="1767">
        <v>0</v>
      </c>
      <c r="AR357" s="1767">
        <v>0</v>
      </c>
      <c r="AS357" s="1767">
        <v>0</v>
      </c>
      <c r="AT357" s="1767">
        <v>0</v>
      </c>
      <c r="AU357" s="1767">
        <v>0</v>
      </c>
      <c r="AV357" s="1767">
        <v>0</v>
      </c>
      <c r="AW357" s="1767">
        <v>0</v>
      </c>
      <c r="AX357" s="1767">
        <v>0</v>
      </c>
      <c r="AY357" s="1767">
        <v>0</v>
      </c>
      <c r="AZ357" s="1767">
        <v>0</v>
      </c>
      <c r="BA357" s="1767"/>
      <c r="BB357" s="1767">
        <v>0</v>
      </c>
      <c r="BC357" s="1767">
        <v>0</v>
      </c>
      <c r="BD357" s="1767">
        <v>0</v>
      </c>
      <c r="BE357" s="1767">
        <v>0</v>
      </c>
      <c r="BF357" s="1767">
        <v>0</v>
      </c>
      <c r="BG357" s="1767">
        <v>19903.250911958967</v>
      </c>
      <c r="BH357" s="1767">
        <v>0</v>
      </c>
      <c r="BI357" s="1767">
        <v>0</v>
      </c>
      <c r="BJ357" s="1767">
        <v>0</v>
      </c>
      <c r="BK357" s="1767">
        <v>0</v>
      </c>
      <c r="BL357" s="1767">
        <v>0</v>
      </c>
      <c r="BM357" s="1767"/>
      <c r="BN357" s="1767"/>
      <c r="BO357" s="1767"/>
      <c r="BP357" s="1767"/>
      <c r="BQ357" s="1767"/>
      <c r="BR357" s="1767"/>
      <c r="BS357" s="1767"/>
      <c r="BT357" s="1767"/>
      <c r="BU357" s="1767"/>
      <c r="BV357" s="1767">
        <v>288087.25980406732</v>
      </c>
      <c r="BW357" s="1767"/>
      <c r="BX357" s="1767"/>
      <c r="BY357" s="1767"/>
      <c r="BZ357" s="1767"/>
      <c r="CA357" s="1767"/>
      <c r="CB357" s="1767"/>
      <c r="CC357" s="1767"/>
      <c r="CD357" s="1767"/>
      <c r="CE357" s="1767"/>
      <c r="CF357" s="1767"/>
      <c r="CG357" s="1767"/>
      <c r="CH357" s="1767"/>
      <c r="CI357" s="1767">
        <v>415797.45349999995</v>
      </c>
      <c r="CJ357" s="1767">
        <v>-13614.079900000012</v>
      </c>
      <c r="CK357" s="1767"/>
      <c r="CL357" s="1767"/>
      <c r="CM357" s="1767"/>
      <c r="CN357" s="1767"/>
      <c r="CO357" s="1767">
        <v>-13613.305859999975</v>
      </c>
      <c r="CP357" s="1767">
        <v>0</v>
      </c>
      <c r="CQ357" s="1767">
        <v>31</v>
      </c>
      <c r="CR357" s="1767">
        <v>-13622.66899854294</v>
      </c>
      <c r="CS357" s="1767">
        <v>0</v>
      </c>
      <c r="CT357" s="1767">
        <v>0</v>
      </c>
      <c r="CU357" s="1767">
        <v>0</v>
      </c>
      <c r="CV357" s="1767">
        <v>0</v>
      </c>
      <c r="CW357" s="1767">
        <v>0</v>
      </c>
      <c r="CX357" s="1767">
        <v>0</v>
      </c>
      <c r="CY357" s="1767">
        <v>0</v>
      </c>
      <c r="CZ357" s="1767">
        <v>0</v>
      </c>
      <c r="DA357" s="1767">
        <v>0</v>
      </c>
      <c r="DB357" s="1767">
        <v>0</v>
      </c>
      <c r="DC357" s="1767">
        <v>0</v>
      </c>
      <c r="DD357" s="1767">
        <v>0</v>
      </c>
      <c r="DE357" s="1767">
        <v>0</v>
      </c>
      <c r="DF357" s="1767">
        <v>0</v>
      </c>
      <c r="DG357" s="1767">
        <v>0</v>
      </c>
      <c r="DH357" s="1767">
        <v>0</v>
      </c>
      <c r="DI357" s="1767">
        <v>-11674.683914529873</v>
      </c>
      <c r="DJ357" s="1767"/>
      <c r="DK357" s="1767">
        <v>0</v>
      </c>
      <c r="DL357" s="1767">
        <v>0</v>
      </c>
      <c r="DM357" s="1767">
        <v>0</v>
      </c>
      <c r="DN357" s="1767">
        <v>0</v>
      </c>
      <c r="DO357" s="1767">
        <v>-1792.5828964686625</v>
      </c>
      <c r="DP357" s="1767">
        <v>-155.40218754442913</v>
      </c>
      <c r="DQ357" s="1767">
        <v>0</v>
      </c>
      <c r="DR357" s="1767">
        <v>0</v>
      </c>
      <c r="DS357" s="1767"/>
      <c r="DT357" s="1767"/>
      <c r="DU357" s="1767"/>
      <c r="DV357" s="1767">
        <v>0</v>
      </c>
      <c r="DW357" s="1767">
        <v>0</v>
      </c>
      <c r="DX357" s="1767">
        <v>0</v>
      </c>
      <c r="DY357" s="1767">
        <v>-13613.305859999964</v>
      </c>
      <c r="DZ357" s="1767">
        <v>0</v>
      </c>
      <c r="EA357" s="1767">
        <v>0</v>
      </c>
      <c r="EB357" s="1767">
        <v>0</v>
      </c>
      <c r="EC357" s="1767">
        <v>0</v>
      </c>
      <c r="ED357" s="1767">
        <v>0</v>
      </c>
      <c r="EE357" s="1767">
        <v>0</v>
      </c>
      <c r="EF357" s="1767">
        <v>0</v>
      </c>
      <c r="EG357" s="1767">
        <v>0</v>
      </c>
      <c r="EH357" s="1767">
        <v>0</v>
      </c>
      <c r="EI357" s="1767">
        <v>0</v>
      </c>
      <c r="EJ357" s="1767">
        <v>0</v>
      </c>
      <c r="EK357" s="1767">
        <v>0</v>
      </c>
      <c r="EL357" s="1767">
        <v>0</v>
      </c>
      <c r="EM357" s="1767">
        <v>0</v>
      </c>
      <c r="EN357" s="1767">
        <v>0</v>
      </c>
      <c r="EO357" s="1767">
        <v>0</v>
      </c>
      <c r="EP357" s="1767">
        <v>0</v>
      </c>
      <c r="EQ357" s="1767">
        <v>0</v>
      </c>
      <c r="ER357" s="1767">
        <v>0</v>
      </c>
      <c r="ES357" s="1767">
        <v>0</v>
      </c>
      <c r="ET357" s="1767">
        <v>0</v>
      </c>
      <c r="EU357" s="1767">
        <v>0</v>
      </c>
      <c r="EV357" s="1767">
        <v>229</v>
      </c>
      <c r="EW357" s="1767">
        <v>0</v>
      </c>
      <c r="EX357" s="1767">
        <v>0</v>
      </c>
      <c r="EY357" s="1767">
        <v>0</v>
      </c>
      <c r="EZ357" s="1767"/>
      <c r="FA357" s="1767">
        <v>0</v>
      </c>
      <c r="FB357" s="1767"/>
      <c r="FC357" s="1767"/>
      <c r="FD357" s="1767"/>
      <c r="FE357" s="1767"/>
      <c r="FF357" s="1767">
        <v>0</v>
      </c>
      <c r="FG357" s="1767">
        <v>0</v>
      </c>
      <c r="FH357" s="1767">
        <v>0</v>
      </c>
      <c r="FI357" s="1767">
        <v>0</v>
      </c>
    </row>
    <row r="358" spans="1:165">
      <c r="A358" s="1767">
        <v>356</v>
      </c>
      <c r="B358" s="1767" t="s">
        <v>2355</v>
      </c>
      <c r="C358" s="1767" t="s">
        <v>2344</v>
      </c>
      <c r="D358" s="1767" t="s">
        <v>533</v>
      </c>
      <c r="E358" s="1767" t="s">
        <v>888</v>
      </c>
      <c r="F358" s="1767" t="s">
        <v>1237</v>
      </c>
      <c r="G358" s="1767" t="s">
        <v>1237</v>
      </c>
      <c r="H358" s="1767" t="s">
        <v>1237</v>
      </c>
      <c r="I358" s="1767" t="s">
        <v>2322</v>
      </c>
      <c r="J358" s="1767" t="s">
        <v>2337</v>
      </c>
      <c r="K358" s="1768">
        <v>44774</v>
      </c>
      <c r="L358" s="1767">
        <v>0</v>
      </c>
      <c r="M358" s="1767">
        <v>0</v>
      </c>
      <c r="N358" s="1767">
        <v>15.888999999999999</v>
      </c>
      <c r="O358" s="1767">
        <v>15.888999999999999</v>
      </c>
      <c r="P358" s="1767">
        <v>15.888999999999999</v>
      </c>
      <c r="Q358" s="1767">
        <v>15.888999999999999</v>
      </c>
      <c r="R358" s="1767"/>
      <c r="S358" s="1767">
        <v>72.13</v>
      </c>
      <c r="T358" s="1767">
        <v>119.97</v>
      </c>
      <c r="U358" s="1767"/>
      <c r="V358" s="1767">
        <v>3052.2768999999998</v>
      </c>
      <c r="W358" s="1767">
        <v>3052.2768999999998</v>
      </c>
      <c r="X358" s="1767">
        <v>2955.51289</v>
      </c>
      <c r="Y358" s="1767">
        <v>0</v>
      </c>
      <c r="Z358" s="1767">
        <v>841.77610520659994</v>
      </c>
      <c r="AA358" s="1767">
        <v>0</v>
      </c>
      <c r="AB358" s="1767">
        <v>0</v>
      </c>
      <c r="AC358" s="1767">
        <v>0</v>
      </c>
      <c r="AD358" s="1767">
        <v>0</v>
      </c>
      <c r="AE358" s="1767">
        <v>0</v>
      </c>
      <c r="AF358" s="1767">
        <v>1906.2643846508022</v>
      </c>
      <c r="AG358" s="1767">
        <v>0</v>
      </c>
      <c r="AH358" s="1767">
        <v>0</v>
      </c>
      <c r="AI358" s="1767">
        <v>0</v>
      </c>
      <c r="AJ358" s="1767">
        <v>0</v>
      </c>
      <c r="AK358" s="1767">
        <v>0</v>
      </c>
      <c r="AL358" s="1767">
        <v>149.51907946582108</v>
      </c>
      <c r="AM358" s="1767"/>
      <c r="AN358" s="1767">
        <v>13.358390629673377</v>
      </c>
      <c r="AO358" s="1767">
        <v>0</v>
      </c>
      <c r="AP358" s="1767">
        <v>0</v>
      </c>
      <c r="AQ358" s="1767">
        <v>0</v>
      </c>
      <c r="AR358" s="1767">
        <v>0</v>
      </c>
      <c r="AS358" s="1767">
        <v>0</v>
      </c>
      <c r="AT358" s="1767">
        <v>0</v>
      </c>
      <c r="AU358" s="1767">
        <v>0</v>
      </c>
      <c r="AV358" s="1767">
        <v>0</v>
      </c>
      <c r="AW358" s="1767">
        <v>0</v>
      </c>
      <c r="AX358" s="1767">
        <v>0</v>
      </c>
      <c r="AY358" s="1767">
        <v>0</v>
      </c>
      <c r="AZ358" s="1767">
        <v>0</v>
      </c>
      <c r="BA358" s="1767"/>
      <c r="BB358" s="1767">
        <v>0</v>
      </c>
      <c r="BC358" s="1767">
        <v>0</v>
      </c>
      <c r="BD358" s="1767">
        <v>0</v>
      </c>
      <c r="BE358" s="1767">
        <v>0</v>
      </c>
      <c r="BF358" s="1767">
        <v>0</v>
      </c>
      <c r="BG358" s="1767">
        <v>141.47323141664185</v>
      </c>
      <c r="BH358" s="1767">
        <v>0</v>
      </c>
      <c r="BI358" s="1767">
        <v>0</v>
      </c>
      <c r="BJ358" s="1767">
        <v>0</v>
      </c>
      <c r="BK358" s="1767">
        <v>0</v>
      </c>
      <c r="BL358" s="1767">
        <v>0</v>
      </c>
      <c r="BM358" s="1767"/>
      <c r="BN358" s="1767"/>
      <c r="BO358" s="1767"/>
      <c r="BP358" s="1767"/>
      <c r="BQ358" s="1767"/>
      <c r="BR358" s="1767"/>
      <c r="BS358" s="1767"/>
      <c r="BT358" s="1767"/>
      <c r="BU358" s="1767"/>
      <c r="BV358" s="1767">
        <v>2047.7376160674439</v>
      </c>
      <c r="BW358" s="1767"/>
      <c r="BX358" s="1767"/>
      <c r="BY358" s="1767"/>
      <c r="BZ358" s="1767"/>
      <c r="CA358" s="1767"/>
      <c r="CB358" s="1767"/>
      <c r="CC358" s="1767"/>
      <c r="CD358" s="1767"/>
      <c r="CE358" s="1767"/>
      <c r="CF358" s="1767"/>
      <c r="CG358" s="1767"/>
      <c r="CH358" s="1767"/>
      <c r="CI358" s="1767">
        <v>2955.6989000000003</v>
      </c>
      <c r="CJ358" s="1767">
        <v>-96.607999999999265</v>
      </c>
      <c r="CK358" s="1767"/>
      <c r="CL358" s="1767"/>
      <c r="CM358" s="1767"/>
      <c r="CN358" s="1767"/>
      <c r="CO358" s="1767">
        <v>-96.764009999999828</v>
      </c>
      <c r="CP358" s="1767">
        <v>0</v>
      </c>
      <c r="CQ358" s="1767">
        <v>31</v>
      </c>
      <c r="CR358" s="1767">
        <v>-96.830563623412218</v>
      </c>
      <c r="CS358" s="1767">
        <v>0</v>
      </c>
      <c r="CT358" s="1767">
        <v>0</v>
      </c>
      <c r="CU358" s="1767">
        <v>0</v>
      </c>
      <c r="CV358" s="1767">
        <v>0</v>
      </c>
      <c r="CW358" s="1767">
        <v>0</v>
      </c>
      <c r="CX358" s="1767">
        <v>0</v>
      </c>
      <c r="CY358" s="1767">
        <v>0</v>
      </c>
      <c r="CZ358" s="1767">
        <v>0</v>
      </c>
      <c r="DA358" s="1767">
        <v>0</v>
      </c>
      <c r="DB358" s="1767">
        <v>0</v>
      </c>
      <c r="DC358" s="1767">
        <v>0</v>
      </c>
      <c r="DD358" s="1767">
        <v>0</v>
      </c>
      <c r="DE358" s="1767">
        <v>0</v>
      </c>
      <c r="DF358" s="1767">
        <v>0</v>
      </c>
      <c r="DG358" s="1767">
        <v>0</v>
      </c>
      <c r="DH358" s="1767">
        <v>0</v>
      </c>
      <c r="DI358" s="1767">
        <v>-82.984195218281002</v>
      </c>
      <c r="DJ358" s="1767"/>
      <c r="DK358" s="1767">
        <v>0</v>
      </c>
      <c r="DL358" s="1767">
        <v>0</v>
      </c>
      <c r="DM358" s="1767">
        <v>0</v>
      </c>
      <c r="DN358" s="1767">
        <v>0</v>
      </c>
      <c r="DO358" s="1767">
        <v>-12.741762442096643</v>
      </c>
      <c r="DP358" s="1767">
        <v>-1.1046059630346843</v>
      </c>
      <c r="DQ358" s="1767">
        <v>0</v>
      </c>
      <c r="DR358" s="1767">
        <v>0</v>
      </c>
      <c r="DS358" s="1767"/>
      <c r="DT358" s="1767"/>
      <c r="DU358" s="1767"/>
      <c r="DV358" s="1767">
        <v>0</v>
      </c>
      <c r="DW358" s="1767">
        <v>0</v>
      </c>
      <c r="DX358" s="1767">
        <v>0</v>
      </c>
      <c r="DY358" s="1767">
        <v>-96.764009999999644</v>
      </c>
      <c r="DZ358" s="1767">
        <v>0</v>
      </c>
      <c r="EA358" s="1767">
        <v>0</v>
      </c>
      <c r="EB358" s="1767">
        <v>0</v>
      </c>
      <c r="EC358" s="1767">
        <v>0</v>
      </c>
      <c r="ED358" s="1767">
        <v>0</v>
      </c>
      <c r="EE358" s="1767">
        <v>0</v>
      </c>
      <c r="EF358" s="1767">
        <v>0</v>
      </c>
      <c r="EG358" s="1767">
        <v>0</v>
      </c>
      <c r="EH358" s="1767">
        <v>0</v>
      </c>
      <c r="EI358" s="1767">
        <v>0</v>
      </c>
      <c r="EJ358" s="1767">
        <v>0</v>
      </c>
      <c r="EK358" s="1767">
        <v>0</v>
      </c>
      <c r="EL358" s="1767">
        <v>0</v>
      </c>
      <c r="EM358" s="1767">
        <v>0</v>
      </c>
      <c r="EN358" s="1767">
        <v>0</v>
      </c>
      <c r="EO358" s="1767">
        <v>0</v>
      </c>
      <c r="EP358" s="1767">
        <v>0</v>
      </c>
      <c r="EQ358" s="1767">
        <v>0</v>
      </c>
      <c r="ER358" s="1767">
        <v>0</v>
      </c>
      <c r="ES358" s="1767">
        <v>0</v>
      </c>
      <c r="ET358" s="1767">
        <v>0</v>
      </c>
      <c r="EU358" s="1767">
        <v>0</v>
      </c>
      <c r="EV358" s="1767">
        <v>229</v>
      </c>
      <c r="EW358" s="1767">
        <v>0</v>
      </c>
      <c r="EX358" s="1767">
        <v>0</v>
      </c>
      <c r="EY358" s="1767">
        <v>0</v>
      </c>
      <c r="EZ358" s="1767"/>
      <c r="FA358" s="1767">
        <v>0</v>
      </c>
      <c r="FB358" s="1767"/>
      <c r="FC358" s="1767"/>
      <c r="FD358" s="1767"/>
      <c r="FE358" s="1767"/>
      <c r="FF358" s="1767">
        <v>0</v>
      </c>
      <c r="FG358" s="1767">
        <v>0</v>
      </c>
      <c r="FH358" s="1767">
        <v>0</v>
      </c>
      <c r="FI358" s="1767">
        <v>0</v>
      </c>
    </row>
    <row r="359" spans="1:165">
      <c r="A359" s="1767">
        <v>357</v>
      </c>
      <c r="B359" s="1767" t="s">
        <v>2355</v>
      </c>
      <c r="C359" s="1767" t="s">
        <v>2344</v>
      </c>
      <c r="D359" s="1767" t="s">
        <v>533</v>
      </c>
      <c r="E359" s="1767" t="s">
        <v>888</v>
      </c>
      <c r="F359" s="1767" t="s">
        <v>1237</v>
      </c>
      <c r="G359" s="1767" t="s">
        <v>1237</v>
      </c>
      <c r="H359" s="1767" t="s">
        <v>1237</v>
      </c>
      <c r="I359" s="1767" t="s">
        <v>1237</v>
      </c>
      <c r="J359" s="1767" t="s">
        <v>2337</v>
      </c>
      <c r="K359" s="1768">
        <v>44774</v>
      </c>
      <c r="L359" s="1767">
        <v>10435</v>
      </c>
      <c r="M359" s="1767">
        <v>10435</v>
      </c>
      <c r="N359" s="1767">
        <v>0</v>
      </c>
      <c r="O359" s="1767">
        <v>0</v>
      </c>
      <c r="P359" s="1767">
        <v>0</v>
      </c>
      <c r="Q359" s="1767">
        <v>0</v>
      </c>
      <c r="R359" s="1767">
        <v>46.29</v>
      </c>
      <c r="S359" s="1767"/>
      <c r="T359" s="1767"/>
      <c r="U359" s="1767">
        <v>483036.14999999997</v>
      </c>
      <c r="V359" s="1767"/>
      <c r="W359" s="1767">
        <v>483036.14999999997</v>
      </c>
      <c r="X359" s="1767">
        <v>429400.25</v>
      </c>
      <c r="Y359" s="1767">
        <v>0</v>
      </c>
      <c r="Z359" s="1767">
        <v>0</v>
      </c>
      <c r="AA359" s="1767">
        <v>0</v>
      </c>
      <c r="AB359" s="1767">
        <v>0</v>
      </c>
      <c r="AC359" s="1767">
        <v>0</v>
      </c>
      <c r="AD359" s="1767">
        <v>186922.28411763842</v>
      </c>
      <c r="AE359" s="1767">
        <v>296076.72440838447</v>
      </c>
      <c r="AF359" s="1767"/>
      <c r="AG359" s="1767"/>
      <c r="AH359" s="1767"/>
      <c r="AI359" s="1767">
        <v>0</v>
      </c>
      <c r="AJ359" s="1767">
        <v>0</v>
      </c>
      <c r="AK359" s="1767">
        <v>0</v>
      </c>
      <c r="AL359" s="1767">
        <v>0</v>
      </c>
      <c r="AM359" s="1767"/>
      <c r="AN359" s="1767">
        <v>0</v>
      </c>
      <c r="AO359" s="1767">
        <v>0</v>
      </c>
      <c r="AP359" s="1767">
        <v>0</v>
      </c>
      <c r="AQ359" s="1767">
        <v>0</v>
      </c>
      <c r="AR359" s="1767">
        <v>0</v>
      </c>
      <c r="AS359" s="1767"/>
      <c r="AT359" s="1767"/>
      <c r="AU359" s="1767">
        <v>0</v>
      </c>
      <c r="AV359" s="1767">
        <v>0</v>
      </c>
      <c r="AW359" s="1767">
        <v>0</v>
      </c>
      <c r="AX359" s="1767"/>
      <c r="AY359" s="1767"/>
      <c r="AZ359" s="1767">
        <v>0</v>
      </c>
      <c r="BA359" s="1767"/>
      <c r="BB359" s="1767">
        <v>0</v>
      </c>
      <c r="BC359" s="1767">
        <v>0</v>
      </c>
      <c r="BD359" s="1767">
        <v>0</v>
      </c>
      <c r="BE359" s="1767">
        <v>0</v>
      </c>
      <c r="BF359" s="1767"/>
      <c r="BG359" s="1767">
        <v>0</v>
      </c>
      <c r="BH359" s="1767">
        <v>0</v>
      </c>
      <c r="BI359" s="1767">
        <v>0</v>
      </c>
      <c r="BJ359" s="1767">
        <v>0</v>
      </c>
      <c r="BK359" s="1767">
        <v>223372.07</v>
      </c>
      <c r="BL359" s="1767">
        <v>26</v>
      </c>
      <c r="BM359" s="1767"/>
      <c r="BN359" s="1767"/>
      <c r="BO359" s="1767"/>
      <c r="BP359" s="1767"/>
      <c r="BQ359" s="1767"/>
      <c r="BR359" s="1767"/>
      <c r="BS359" s="1767"/>
      <c r="BT359" s="1767"/>
      <c r="BU359" s="1767"/>
      <c r="BV359" s="1767">
        <v>0</v>
      </c>
      <c r="BW359" s="1767"/>
      <c r="BX359" s="1767"/>
      <c r="BY359" s="1767"/>
      <c r="BZ359" s="1767"/>
      <c r="CA359" s="1767"/>
      <c r="CB359" s="1767"/>
      <c r="CC359" s="1767"/>
      <c r="CD359" s="1767"/>
      <c r="CE359" s="1767"/>
      <c r="CF359" s="1767"/>
      <c r="CG359" s="1767"/>
      <c r="CH359" s="1767"/>
      <c r="CI359" s="1767">
        <v>429400.25</v>
      </c>
      <c r="CJ359" s="1767">
        <v>-53635.929999999993</v>
      </c>
      <c r="CK359" s="1767"/>
      <c r="CL359" s="1767"/>
      <c r="CM359" s="1767"/>
      <c r="CN359" s="1767"/>
      <c r="CO359" s="1767">
        <v>-53635.900000000009</v>
      </c>
      <c r="CP359" s="1767">
        <v>0</v>
      </c>
      <c r="CQ359" s="1767">
        <v>31</v>
      </c>
      <c r="CR359" s="1767">
        <v>-1000.0678440880147</v>
      </c>
      <c r="CS359" s="1767">
        <v>0</v>
      </c>
      <c r="CT359" s="1767">
        <v>0</v>
      </c>
      <c r="CU359" s="1767">
        <v>0</v>
      </c>
      <c r="CV359" s="1767">
        <v>0</v>
      </c>
      <c r="CW359" s="1767"/>
      <c r="CX359" s="1767"/>
      <c r="CY359" s="1767"/>
      <c r="CZ359" s="1767">
        <v>-1000.0678440880147</v>
      </c>
      <c r="DA359" s="1767">
        <v>0</v>
      </c>
      <c r="DB359" s="1767">
        <v>0</v>
      </c>
      <c r="DC359" s="1767"/>
      <c r="DD359" s="1767"/>
      <c r="DE359" s="1767">
        <v>0</v>
      </c>
      <c r="DF359" s="1767">
        <v>0</v>
      </c>
      <c r="DG359" s="1767">
        <v>0</v>
      </c>
      <c r="DH359" s="1767">
        <v>0</v>
      </c>
      <c r="DI359" s="1767">
        <v>0</v>
      </c>
      <c r="DJ359" s="1767"/>
      <c r="DK359" s="1767">
        <v>0</v>
      </c>
      <c r="DL359" s="1767">
        <v>0</v>
      </c>
      <c r="DM359" s="1767"/>
      <c r="DN359" s="1767">
        <v>0</v>
      </c>
      <c r="DO359" s="1767">
        <v>0</v>
      </c>
      <c r="DP359" s="1767">
        <v>0</v>
      </c>
      <c r="DQ359" s="1767">
        <v>0</v>
      </c>
      <c r="DR359" s="1767">
        <v>0</v>
      </c>
      <c r="DS359" s="1767"/>
      <c r="DT359" s="1767"/>
      <c r="DU359" s="1767">
        <v>296076.72440838447</v>
      </c>
      <c r="DV359" s="1767"/>
      <c r="DW359" s="1767">
        <v>0</v>
      </c>
      <c r="DX359" s="1767">
        <v>0</v>
      </c>
      <c r="DY359" s="1767">
        <v>-53635.899999999965</v>
      </c>
      <c r="DZ359" s="1767"/>
      <c r="EA359" s="1767">
        <v>0</v>
      </c>
      <c r="EB359" s="1767"/>
      <c r="EC359" s="1767">
        <v>-52611.047947957268</v>
      </c>
      <c r="ED359" s="1767"/>
      <c r="EE359" s="1767">
        <v>0</v>
      </c>
      <c r="EF359" s="1767">
        <v>0</v>
      </c>
      <c r="EG359" s="1767"/>
      <c r="EH359" s="1767">
        <v>0</v>
      </c>
      <c r="EI359" s="1767">
        <v>0</v>
      </c>
      <c r="EJ359" s="1767">
        <v>0</v>
      </c>
      <c r="EK359" s="1767">
        <v>0</v>
      </c>
      <c r="EL359" s="1767">
        <v>0</v>
      </c>
      <c r="EM359" s="1767"/>
      <c r="EN359" s="1767"/>
      <c r="EO359" s="1767">
        <v>0</v>
      </c>
      <c r="EP359" s="1767">
        <v>0</v>
      </c>
      <c r="EQ359" s="1767"/>
      <c r="ER359" s="1767">
        <v>0</v>
      </c>
      <c r="ES359" s="1767"/>
      <c r="ET359" s="1767">
        <v>0</v>
      </c>
      <c r="EU359" s="1767"/>
      <c r="EV359" s="1767">
        <v>229</v>
      </c>
      <c r="EW359" s="1767"/>
      <c r="EX359" s="1767"/>
      <c r="EY359" s="1767"/>
      <c r="EZ359" s="1767"/>
      <c r="FA359" s="1767">
        <v>0</v>
      </c>
      <c r="FB359" s="1767"/>
      <c r="FC359" s="1767"/>
      <c r="FD359" s="1767"/>
      <c r="FE359" s="1767"/>
      <c r="FF359" s="1767">
        <v>0</v>
      </c>
      <c r="FG359" s="1767">
        <v>0</v>
      </c>
      <c r="FH359" s="1767">
        <v>0</v>
      </c>
      <c r="FI359" s="1767">
        <v>0</v>
      </c>
    </row>
    <row r="360" spans="1:165">
      <c r="A360" s="1767">
        <v>358</v>
      </c>
      <c r="B360" s="1767" t="s">
        <v>2355</v>
      </c>
      <c r="C360" s="1767" t="s">
        <v>2344</v>
      </c>
      <c r="D360" s="1767" t="s">
        <v>533</v>
      </c>
      <c r="E360" s="1767" t="s">
        <v>888</v>
      </c>
      <c r="F360" s="1767" t="s">
        <v>1237</v>
      </c>
      <c r="G360" s="1767" t="s">
        <v>1237</v>
      </c>
      <c r="H360" s="1767" t="s">
        <v>1237</v>
      </c>
      <c r="I360" s="1767" t="s">
        <v>1237</v>
      </c>
      <c r="J360" s="1767" t="s">
        <v>2337</v>
      </c>
      <c r="K360" s="1768">
        <v>44774</v>
      </c>
      <c r="L360" s="1767">
        <v>74</v>
      </c>
      <c r="M360" s="1767">
        <v>74</v>
      </c>
      <c r="N360" s="1767">
        <v>0</v>
      </c>
      <c r="O360" s="1767">
        <v>0</v>
      </c>
      <c r="P360" s="1767">
        <v>0</v>
      </c>
      <c r="Q360" s="1767">
        <v>0</v>
      </c>
      <c r="R360" s="1767">
        <v>46.29</v>
      </c>
      <c r="S360" s="1767"/>
      <c r="T360" s="1767"/>
      <c r="U360" s="1767">
        <v>3425.46</v>
      </c>
      <c r="V360" s="1767"/>
      <c r="W360" s="1767">
        <v>3425.46</v>
      </c>
      <c r="X360" s="1767">
        <v>3045.1</v>
      </c>
      <c r="Y360" s="1767">
        <v>0</v>
      </c>
      <c r="Z360" s="1767">
        <v>0</v>
      </c>
      <c r="AA360" s="1767">
        <v>0</v>
      </c>
      <c r="AB360" s="1767">
        <v>0</v>
      </c>
      <c r="AC360" s="1767">
        <v>0</v>
      </c>
      <c r="AD360" s="1767">
        <v>1325.5629156401767</v>
      </c>
      <c r="AE360" s="1767">
        <v>2099.6336948941498</v>
      </c>
      <c r="AF360" s="1767"/>
      <c r="AG360" s="1767"/>
      <c r="AH360" s="1767"/>
      <c r="AI360" s="1767">
        <v>0</v>
      </c>
      <c r="AJ360" s="1767">
        <v>0</v>
      </c>
      <c r="AK360" s="1767">
        <v>0</v>
      </c>
      <c r="AL360" s="1767">
        <v>0</v>
      </c>
      <c r="AM360" s="1767"/>
      <c r="AN360" s="1767">
        <v>0</v>
      </c>
      <c r="AO360" s="1767">
        <v>0</v>
      </c>
      <c r="AP360" s="1767">
        <v>0</v>
      </c>
      <c r="AQ360" s="1767">
        <v>0</v>
      </c>
      <c r="AR360" s="1767">
        <v>0</v>
      </c>
      <c r="AS360" s="1767"/>
      <c r="AT360" s="1767"/>
      <c r="AU360" s="1767">
        <v>0</v>
      </c>
      <c r="AV360" s="1767">
        <v>0</v>
      </c>
      <c r="AW360" s="1767">
        <v>0</v>
      </c>
      <c r="AX360" s="1767"/>
      <c r="AY360" s="1767"/>
      <c r="AZ360" s="1767">
        <v>0</v>
      </c>
      <c r="BA360" s="1767"/>
      <c r="BB360" s="1767">
        <v>0</v>
      </c>
      <c r="BC360" s="1767">
        <v>0</v>
      </c>
      <c r="BD360" s="1767">
        <v>0</v>
      </c>
      <c r="BE360" s="1767">
        <v>0</v>
      </c>
      <c r="BF360" s="1767"/>
      <c r="BG360" s="1767">
        <v>0</v>
      </c>
      <c r="BH360" s="1767">
        <v>0</v>
      </c>
      <c r="BI360" s="1767">
        <v>0</v>
      </c>
      <c r="BJ360" s="1767">
        <v>0</v>
      </c>
      <c r="BK360" s="1767">
        <v>3372.02</v>
      </c>
      <c r="BL360" s="1767">
        <v>1</v>
      </c>
      <c r="BM360" s="1767"/>
      <c r="BN360" s="1767"/>
      <c r="BO360" s="1767"/>
      <c r="BP360" s="1767"/>
      <c r="BQ360" s="1767"/>
      <c r="BR360" s="1767"/>
      <c r="BS360" s="1767"/>
      <c r="BT360" s="1767"/>
      <c r="BU360" s="1767"/>
      <c r="BV360" s="1767">
        <v>0</v>
      </c>
      <c r="BW360" s="1767"/>
      <c r="BX360" s="1767"/>
      <c r="BY360" s="1767"/>
      <c r="BZ360" s="1767"/>
      <c r="CA360" s="1767"/>
      <c r="CB360" s="1767"/>
      <c r="CC360" s="1767"/>
      <c r="CD360" s="1767"/>
      <c r="CE360" s="1767"/>
      <c r="CF360" s="1767"/>
      <c r="CG360" s="1767"/>
      <c r="CH360" s="1767"/>
      <c r="CI360" s="1767">
        <v>3045.1</v>
      </c>
      <c r="CJ360" s="1767">
        <v>-380.39000000000078</v>
      </c>
      <c r="CK360" s="1767"/>
      <c r="CL360" s="1767"/>
      <c r="CM360" s="1767"/>
      <c r="CN360" s="1767"/>
      <c r="CO360" s="1767">
        <v>-380.36</v>
      </c>
      <c r="CP360" s="1767">
        <v>0</v>
      </c>
      <c r="CQ360" s="1767">
        <v>31</v>
      </c>
      <c r="CR360" s="1767">
        <v>-7.0920000443231856</v>
      </c>
      <c r="CS360" s="1767">
        <v>0</v>
      </c>
      <c r="CT360" s="1767">
        <v>0</v>
      </c>
      <c r="CU360" s="1767">
        <v>0</v>
      </c>
      <c r="CV360" s="1767">
        <v>0</v>
      </c>
      <c r="CW360" s="1767"/>
      <c r="CX360" s="1767"/>
      <c r="CY360" s="1767"/>
      <c r="CZ360" s="1767">
        <v>-7.0920000443231856</v>
      </c>
      <c r="DA360" s="1767">
        <v>0</v>
      </c>
      <c r="DB360" s="1767">
        <v>0</v>
      </c>
      <c r="DC360" s="1767"/>
      <c r="DD360" s="1767"/>
      <c r="DE360" s="1767">
        <v>0</v>
      </c>
      <c r="DF360" s="1767">
        <v>0</v>
      </c>
      <c r="DG360" s="1767">
        <v>0</v>
      </c>
      <c r="DH360" s="1767">
        <v>0</v>
      </c>
      <c r="DI360" s="1767">
        <v>0</v>
      </c>
      <c r="DJ360" s="1767"/>
      <c r="DK360" s="1767">
        <v>0</v>
      </c>
      <c r="DL360" s="1767">
        <v>0</v>
      </c>
      <c r="DM360" s="1767"/>
      <c r="DN360" s="1767">
        <v>0</v>
      </c>
      <c r="DO360" s="1767">
        <v>0</v>
      </c>
      <c r="DP360" s="1767">
        <v>0</v>
      </c>
      <c r="DQ360" s="1767">
        <v>0</v>
      </c>
      <c r="DR360" s="1767">
        <v>0</v>
      </c>
      <c r="DS360" s="1767"/>
      <c r="DT360" s="1767"/>
      <c r="DU360" s="1767">
        <v>2099.6336948941498</v>
      </c>
      <c r="DV360" s="1767"/>
      <c r="DW360" s="1767">
        <v>0</v>
      </c>
      <c r="DX360" s="1767">
        <v>0</v>
      </c>
      <c r="DY360" s="1767">
        <v>-380.36000000000013</v>
      </c>
      <c r="DZ360" s="1767"/>
      <c r="EA360" s="1767">
        <v>0</v>
      </c>
      <c r="EB360" s="1767"/>
      <c r="EC360" s="1767">
        <v>-373.09224227588311</v>
      </c>
      <c r="ED360" s="1767"/>
      <c r="EE360" s="1767">
        <v>0</v>
      </c>
      <c r="EF360" s="1767">
        <v>0</v>
      </c>
      <c r="EG360" s="1767"/>
      <c r="EH360" s="1767">
        <v>0</v>
      </c>
      <c r="EI360" s="1767">
        <v>0</v>
      </c>
      <c r="EJ360" s="1767">
        <v>0</v>
      </c>
      <c r="EK360" s="1767">
        <v>0</v>
      </c>
      <c r="EL360" s="1767">
        <v>0</v>
      </c>
      <c r="EM360" s="1767"/>
      <c r="EN360" s="1767"/>
      <c r="EO360" s="1767">
        <v>0</v>
      </c>
      <c r="EP360" s="1767">
        <v>0</v>
      </c>
      <c r="EQ360" s="1767"/>
      <c r="ER360" s="1767">
        <v>0</v>
      </c>
      <c r="ES360" s="1767"/>
      <c r="ET360" s="1767">
        <v>0</v>
      </c>
      <c r="EU360" s="1767"/>
      <c r="EV360" s="1767">
        <v>229</v>
      </c>
      <c r="EW360" s="1767"/>
      <c r="EX360" s="1767"/>
      <c r="EY360" s="1767"/>
      <c r="EZ360" s="1767"/>
      <c r="FA360" s="1767">
        <v>0</v>
      </c>
      <c r="FB360" s="1767"/>
      <c r="FC360" s="1767"/>
      <c r="FD360" s="1767"/>
      <c r="FE360" s="1767"/>
      <c r="FF360" s="1767">
        <v>0</v>
      </c>
      <c r="FG360" s="1767">
        <v>0</v>
      </c>
      <c r="FH360" s="1767">
        <v>0</v>
      </c>
      <c r="FI360" s="1767">
        <v>0</v>
      </c>
    </row>
    <row r="361" spans="1:165">
      <c r="A361" s="1767">
        <v>359</v>
      </c>
      <c r="B361" s="1767" t="s">
        <v>2355</v>
      </c>
      <c r="C361" s="1767" t="s">
        <v>2345</v>
      </c>
      <c r="D361" s="1767" t="s">
        <v>1822</v>
      </c>
      <c r="E361" s="1767" t="s">
        <v>888</v>
      </c>
      <c r="F361" s="1767" t="s">
        <v>1237</v>
      </c>
      <c r="G361" s="1767" t="s">
        <v>1237</v>
      </c>
      <c r="H361" s="1767" t="s">
        <v>1237</v>
      </c>
      <c r="I361" s="1767" t="s">
        <v>891</v>
      </c>
      <c r="J361" s="1767" t="s">
        <v>2337</v>
      </c>
      <c r="K361" s="1768">
        <v>44774</v>
      </c>
      <c r="L361" s="1767">
        <v>0</v>
      </c>
      <c r="M361" s="1767">
        <v>0</v>
      </c>
      <c r="N361" s="1767">
        <v>9.2999999999999999E-2</v>
      </c>
      <c r="O361" s="1767">
        <v>9.2999999999999999E-2</v>
      </c>
      <c r="P361" s="1767">
        <v>9.2999999999999999E-2</v>
      </c>
      <c r="Q361" s="1767">
        <v>9.2999999999999999E-2</v>
      </c>
      <c r="R361" s="1767"/>
      <c r="S361" s="1767">
        <v>2187.66</v>
      </c>
      <c r="T361" s="1767">
        <v>119.97</v>
      </c>
      <c r="U361" s="1767"/>
      <c r="V361" s="1767">
        <v>214.60958999999997</v>
      </c>
      <c r="W361" s="1767">
        <v>214.60958999999997</v>
      </c>
      <c r="X361" s="1767">
        <v>185.15834999999998</v>
      </c>
      <c r="Y361" s="1767">
        <v>0</v>
      </c>
      <c r="Z361" s="1767">
        <v>5.6632238007653557</v>
      </c>
      <c r="AA361" s="1767">
        <v>0</v>
      </c>
      <c r="AB361" s="1767">
        <v>0</v>
      </c>
      <c r="AC361" s="1767">
        <v>0</v>
      </c>
      <c r="AD361" s="1767">
        <v>34.000487035519193</v>
      </c>
      <c r="AE361" s="1767">
        <v>161.0605467495503</v>
      </c>
      <c r="AF361" s="1767">
        <v>11.157567359338197</v>
      </c>
      <c r="AG361" s="1767">
        <v>0</v>
      </c>
      <c r="AH361" s="1767">
        <v>0</v>
      </c>
      <c r="AI361" s="1767">
        <v>0</v>
      </c>
      <c r="AJ361" s="1767">
        <v>0</v>
      </c>
      <c r="AK361" s="1767">
        <v>0</v>
      </c>
      <c r="AL361" s="1767">
        <v>0.87515100952365543</v>
      </c>
      <c r="AM361" s="1767"/>
      <c r="AN361" s="1767">
        <v>0.20007078386223706</v>
      </c>
      <c r="AO361" s="1767">
        <v>0</v>
      </c>
      <c r="AP361" s="1767">
        <v>0</v>
      </c>
      <c r="AQ361" s="1767">
        <v>0</v>
      </c>
      <c r="AR361" s="1767">
        <v>0</v>
      </c>
      <c r="AS361" s="1767">
        <v>0</v>
      </c>
      <c r="AT361" s="1767">
        <v>0</v>
      </c>
      <c r="AU361" s="1767">
        <v>0</v>
      </c>
      <c r="AV361" s="1767">
        <v>0</v>
      </c>
      <c r="AW361" s="1767">
        <v>0</v>
      </c>
      <c r="AX361" s="1767">
        <v>0</v>
      </c>
      <c r="AY361" s="1767">
        <v>0</v>
      </c>
      <c r="AZ361" s="1767">
        <v>0</v>
      </c>
      <c r="BA361" s="1767"/>
      <c r="BB361" s="1767">
        <v>0</v>
      </c>
      <c r="BC361" s="1767">
        <v>0</v>
      </c>
      <c r="BD361" s="1767">
        <v>0</v>
      </c>
      <c r="BE361" s="1767">
        <v>0</v>
      </c>
      <c r="BF361" s="1767">
        <v>0</v>
      </c>
      <c r="BG361" s="1767">
        <v>1.6528344560981016</v>
      </c>
      <c r="BH361" s="1767">
        <v>0</v>
      </c>
      <c r="BI361" s="1767">
        <v>0</v>
      </c>
      <c r="BJ361" s="1767">
        <v>0</v>
      </c>
      <c r="BK361" s="1767">
        <v>0</v>
      </c>
      <c r="BL361" s="1767">
        <v>0</v>
      </c>
      <c r="BM361" s="1767"/>
      <c r="BN361" s="1767"/>
      <c r="BO361" s="1767"/>
      <c r="BP361" s="1767"/>
      <c r="BQ361" s="1767"/>
      <c r="BR361" s="1767"/>
      <c r="BS361" s="1767"/>
      <c r="BT361" s="1767"/>
      <c r="BU361" s="1767"/>
      <c r="BV361" s="1767">
        <v>12.810401815436299</v>
      </c>
      <c r="BW361" s="1767"/>
      <c r="BX361" s="1767"/>
      <c r="BY361" s="1767"/>
      <c r="BZ361" s="1767"/>
      <c r="CA361" s="1767"/>
      <c r="CB361" s="1767"/>
      <c r="CC361" s="1767"/>
      <c r="CD361" s="1767"/>
      <c r="CE361" s="1767"/>
      <c r="CF361" s="1767"/>
      <c r="CG361" s="1767"/>
      <c r="CH361" s="1767"/>
      <c r="CI361" s="1767">
        <v>179.18549999999999</v>
      </c>
      <c r="CJ361" s="1767">
        <v>-35.454089999999951</v>
      </c>
      <c r="CK361" s="1767"/>
      <c r="CL361" s="1767"/>
      <c r="CM361" s="1767"/>
      <c r="CN361" s="1767"/>
      <c r="CO361" s="1767">
        <v>-29.451239999999984</v>
      </c>
      <c r="CP361" s="1767">
        <v>0</v>
      </c>
      <c r="CQ361" s="1767">
        <v>31</v>
      </c>
      <c r="CR361" s="1767">
        <v>-0.83132490012739879</v>
      </c>
      <c r="CS361" s="1767">
        <v>0</v>
      </c>
      <c r="CT361" s="1767">
        <v>0</v>
      </c>
      <c r="CU361" s="1767">
        <v>0</v>
      </c>
      <c r="CV361" s="1767">
        <v>0</v>
      </c>
      <c r="CW361" s="1767">
        <v>0</v>
      </c>
      <c r="CX361" s="1767">
        <v>0</v>
      </c>
      <c r="CY361" s="1767">
        <v>0</v>
      </c>
      <c r="CZ361" s="1767">
        <v>-0.18190872173458672</v>
      </c>
      <c r="DA361" s="1767">
        <v>0</v>
      </c>
      <c r="DB361" s="1767">
        <v>0</v>
      </c>
      <c r="DC361" s="1767">
        <v>0</v>
      </c>
      <c r="DD361" s="1767">
        <v>0</v>
      </c>
      <c r="DE361" s="1767">
        <v>0</v>
      </c>
      <c r="DF361" s="1767">
        <v>0</v>
      </c>
      <c r="DG361" s="1767">
        <v>0</v>
      </c>
      <c r="DH361" s="1767">
        <v>0</v>
      </c>
      <c r="DI361" s="1767">
        <v>-0.55829343045106672</v>
      </c>
      <c r="DJ361" s="1767"/>
      <c r="DK361" s="1767">
        <v>0</v>
      </c>
      <c r="DL361" s="1767">
        <v>0</v>
      </c>
      <c r="DM361" s="1767">
        <v>0</v>
      </c>
      <c r="DN361" s="1767">
        <v>0</v>
      </c>
      <c r="DO361" s="1767">
        <v>-7.4578885210836998E-2</v>
      </c>
      <c r="DP361" s="1767">
        <v>-1.6543862730914738E-2</v>
      </c>
      <c r="DQ361" s="1767">
        <v>0</v>
      </c>
      <c r="DR361" s="1767">
        <v>0</v>
      </c>
      <c r="DS361" s="1767"/>
      <c r="DT361" s="1767"/>
      <c r="DU361" s="1767"/>
      <c r="DV361" s="1767">
        <v>161.0605467495503</v>
      </c>
      <c r="DW361" s="1767">
        <v>0</v>
      </c>
      <c r="DX361" s="1767">
        <v>0</v>
      </c>
      <c r="DY361" s="1767">
        <v>-29.451239999999984</v>
      </c>
      <c r="DZ361" s="1767">
        <v>0</v>
      </c>
      <c r="EA361" s="1767">
        <v>0</v>
      </c>
      <c r="EB361" s="1767">
        <v>0</v>
      </c>
      <c r="EC361" s="1767">
        <v>-28.61948761590935</v>
      </c>
      <c r="ED361" s="1767">
        <v>0</v>
      </c>
      <c r="EE361" s="1767">
        <v>0</v>
      </c>
      <c r="EF361" s="1767">
        <v>0</v>
      </c>
      <c r="EG361" s="1767">
        <v>0</v>
      </c>
      <c r="EH361" s="1767">
        <v>0</v>
      </c>
      <c r="EI361" s="1767">
        <v>0</v>
      </c>
      <c r="EJ361" s="1767">
        <v>0</v>
      </c>
      <c r="EK361" s="1767">
        <v>0</v>
      </c>
      <c r="EL361" s="1767">
        <v>0</v>
      </c>
      <c r="EM361" s="1767">
        <v>0</v>
      </c>
      <c r="EN361" s="1767">
        <v>0</v>
      </c>
      <c r="EO361" s="1767">
        <v>0</v>
      </c>
      <c r="EP361" s="1767">
        <v>0</v>
      </c>
      <c r="EQ361" s="1767">
        <v>0</v>
      </c>
      <c r="ER361" s="1767">
        <v>0</v>
      </c>
      <c r="ES361" s="1767">
        <v>0</v>
      </c>
      <c r="ET361" s="1767">
        <v>0</v>
      </c>
      <c r="EU361" s="1767">
        <v>0</v>
      </c>
      <c r="EV361" s="1767">
        <v>229</v>
      </c>
      <c r="EW361" s="1767">
        <v>0</v>
      </c>
      <c r="EX361" s="1767">
        <v>0</v>
      </c>
      <c r="EY361" s="1767">
        <v>0</v>
      </c>
      <c r="EZ361" s="1767"/>
      <c r="FA361" s="1767">
        <v>0</v>
      </c>
      <c r="FB361" s="1767"/>
      <c r="FC361" s="1767"/>
      <c r="FD361" s="1767"/>
      <c r="FE361" s="1767"/>
      <c r="FF361" s="1767">
        <v>0</v>
      </c>
      <c r="FG361" s="1767">
        <v>0</v>
      </c>
      <c r="FH361" s="1767">
        <v>0</v>
      </c>
      <c r="FI361" s="1767">
        <v>0</v>
      </c>
    </row>
    <row r="362" spans="1:165">
      <c r="A362" s="1767">
        <v>360</v>
      </c>
      <c r="B362" s="1767" t="s">
        <v>2355</v>
      </c>
      <c r="C362" s="1767" t="s">
        <v>2345</v>
      </c>
      <c r="D362" s="1767" t="s">
        <v>1822</v>
      </c>
      <c r="E362" s="1767" t="s">
        <v>888</v>
      </c>
      <c r="F362" s="1767" t="s">
        <v>1237</v>
      </c>
      <c r="G362" s="1767" t="s">
        <v>1237</v>
      </c>
      <c r="H362" s="1767" t="s">
        <v>1237</v>
      </c>
      <c r="I362" s="1767" t="s">
        <v>891</v>
      </c>
      <c r="J362" s="1767" t="s">
        <v>2337</v>
      </c>
      <c r="K362" s="1768">
        <v>44774</v>
      </c>
      <c r="L362" s="1767">
        <v>0</v>
      </c>
      <c r="M362" s="1767">
        <v>0</v>
      </c>
      <c r="N362" s="1767">
        <v>0.02</v>
      </c>
      <c r="O362" s="1767">
        <v>0.02</v>
      </c>
      <c r="P362" s="1767">
        <v>0.02</v>
      </c>
      <c r="Q362" s="1767">
        <v>0.02</v>
      </c>
      <c r="R362" s="1767"/>
      <c r="S362" s="1767">
        <v>2187.66</v>
      </c>
      <c r="T362" s="1767">
        <v>119.97</v>
      </c>
      <c r="U362" s="1767"/>
      <c r="V362" s="1767">
        <v>46.1526</v>
      </c>
      <c r="W362" s="1767">
        <v>46.1526</v>
      </c>
      <c r="X362" s="1767">
        <v>39.819000000000003</v>
      </c>
      <c r="Y362" s="1767">
        <v>0</v>
      </c>
      <c r="Z362" s="1767">
        <v>1.2178975915624421</v>
      </c>
      <c r="AA362" s="1767">
        <v>0</v>
      </c>
      <c r="AB362" s="1767">
        <v>0</v>
      </c>
      <c r="AC362" s="1767">
        <v>0</v>
      </c>
      <c r="AD362" s="1767">
        <v>7.3119326958105795</v>
      </c>
      <c r="AE362" s="1767">
        <v>34.636676720333398</v>
      </c>
      <c r="AF362" s="1767">
        <v>2.3994768514705802</v>
      </c>
      <c r="AG362" s="1767">
        <v>0</v>
      </c>
      <c r="AH362" s="1767">
        <v>0</v>
      </c>
      <c r="AI362" s="1767">
        <v>0</v>
      </c>
      <c r="AJ362" s="1767">
        <v>0</v>
      </c>
      <c r="AK362" s="1767">
        <v>0</v>
      </c>
      <c r="AL362" s="1767">
        <v>0.18820451817713021</v>
      </c>
      <c r="AM362" s="1767"/>
      <c r="AN362" s="1767">
        <v>4.3025975024137006E-2</v>
      </c>
      <c r="AO362" s="1767">
        <v>0</v>
      </c>
      <c r="AP362" s="1767">
        <v>0</v>
      </c>
      <c r="AQ362" s="1767">
        <v>0</v>
      </c>
      <c r="AR362" s="1767">
        <v>0</v>
      </c>
      <c r="AS362" s="1767">
        <v>0</v>
      </c>
      <c r="AT362" s="1767">
        <v>0</v>
      </c>
      <c r="AU362" s="1767">
        <v>0</v>
      </c>
      <c r="AV362" s="1767">
        <v>0</v>
      </c>
      <c r="AW362" s="1767">
        <v>0</v>
      </c>
      <c r="AX362" s="1767">
        <v>0</v>
      </c>
      <c r="AY362" s="1767">
        <v>0</v>
      </c>
      <c r="AZ362" s="1767">
        <v>0</v>
      </c>
      <c r="BA362" s="1767"/>
      <c r="BB362" s="1767">
        <v>0</v>
      </c>
      <c r="BC362" s="1767">
        <v>0</v>
      </c>
      <c r="BD362" s="1767">
        <v>0</v>
      </c>
      <c r="BE362" s="1767">
        <v>0</v>
      </c>
      <c r="BF362" s="1767">
        <v>0</v>
      </c>
      <c r="BG362" s="1767">
        <v>0.35544827012862401</v>
      </c>
      <c r="BH362" s="1767">
        <v>0</v>
      </c>
      <c r="BI362" s="1767">
        <v>0</v>
      </c>
      <c r="BJ362" s="1767">
        <v>0</v>
      </c>
      <c r="BK362" s="1767">
        <v>0</v>
      </c>
      <c r="BL362" s="1767">
        <v>0</v>
      </c>
      <c r="BM362" s="1767"/>
      <c r="BN362" s="1767"/>
      <c r="BO362" s="1767"/>
      <c r="BP362" s="1767"/>
      <c r="BQ362" s="1767"/>
      <c r="BR362" s="1767"/>
      <c r="BS362" s="1767"/>
      <c r="BT362" s="1767"/>
      <c r="BU362" s="1767"/>
      <c r="BV362" s="1767">
        <v>2.7549251215992041</v>
      </c>
      <c r="BW362" s="1767"/>
      <c r="BX362" s="1767"/>
      <c r="BY362" s="1767"/>
      <c r="BZ362" s="1767"/>
      <c r="CA362" s="1767"/>
      <c r="CB362" s="1767"/>
      <c r="CC362" s="1767"/>
      <c r="CD362" s="1767"/>
      <c r="CE362" s="1767"/>
      <c r="CF362" s="1767"/>
      <c r="CG362" s="1767"/>
      <c r="CH362" s="1767"/>
      <c r="CI362" s="1767">
        <v>39.819000000000003</v>
      </c>
      <c r="CJ362" s="1767">
        <v>-6.363599999999991</v>
      </c>
      <c r="CK362" s="1767"/>
      <c r="CL362" s="1767"/>
      <c r="CM362" s="1767"/>
      <c r="CN362" s="1767"/>
      <c r="CO362" s="1767">
        <v>-6.333599999999997</v>
      </c>
      <c r="CP362" s="1767">
        <v>0</v>
      </c>
      <c r="CQ362" s="1767">
        <v>31</v>
      </c>
      <c r="CR362" s="1767">
        <v>-0.17877954841449473</v>
      </c>
      <c r="CS362" s="1767">
        <v>0</v>
      </c>
      <c r="CT362" s="1767">
        <v>0</v>
      </c>
      <c r="CU362" s="1767">
        <v>0</v>
      </c>
      <c r="CV362" s="1767">
        <v>0</v>
      </c>
      <c r="CW362" s="1767">
        <v>0</v>
      </c>
      <c r="CX362" s="1767">
        <v>0</v>
      </c>
      <c r="CY362" s="1767">
        <v>0</v>
      </c>
      <c r="CZ362" s="1767">
        <v>-3.9120155211739949E-2</v>
      </c>
      <c r="DA362" s="1767">
        <v>0</v>
      </c>
      <c r="DB362" s="1767">
        <v>0</v>
      </c>
      <c r="DC362" s="1767">
        <v>0</v>
      </c>
      <c r="DD362" s="1767">
        <v>0</v>
      </c>
      <c r="DE362" s="1767">
        <v>0</v>
      </c>
      <c r="DF362" s="1767">
        <v>0</v>
      </c>
      <c r="DG362" s="1767">
        <v>0</v>
      </c>
      <c r="DH362" s="1767">
        <v>0</v>
      </c>
      <c r="DI362" s="1767">
        <v>-0.12006310332281012</v>
      </c>
      <c r="DJ362" s="1767"/>
      <c r="DK362" s="1767">
        <v>0</v>
      </c>
      <c r="DL362" s="1767">
        <v>0</v>
      </c>
      <c r="DM362" s="1767">
        <v>0</v>
      </c>
      <c r="DN362" s="1767">
        <v>0</v>
      </c>
      <c r="DO362" s="1767">
        <v>-1.6038469937814409E-2</v>
      </c>
      <c r="DP362" s="1767">
        <v>-3.5578199421322093E-3</v>
      </c>
      <c r="DQ362" s="1767">
        <v>0</v>
      </c>
      <c r="DR362" s="1767">
        <v>0</v>
      </c>
      <c r="DS362" s="1767"/>
      <c r="DT362" s="1767"/>
      <c r="DU362" s="1767"/>
      <c r="DV362" s="1767">
        <v>34.636676720333398</v>
      </c>
      <c r="DW362" s="1767">
        <v>0</v>
      </c>
      <c r="DX362" s="1767">
        <v>0</v>
      </c>
      <c r="DY362" s="1767">
        <v>-6.333599999999997</v>
      </c>
      <c r="DZ362" s="1767">
        <v>0</v>
      </c>
      <c r="EA362" s="1767">
        <v>0</v>
      </c>
      <c r="EB362" s="1767">
        <v>0</v>
      </c>
      <c r="EC362" s="1767">
        <v>-6.1547285195503996</v>
      </c>
      <c r="ED362" s="1767">
        <v>0</v>
      </c>
      <c r="EE362" s="1767">
        <v>0</v>
      </c>
      <c r="EF362" s="1767">
        <v>0</v>
      </c>
      <c r="EG362" s="1767">
        <v>0</v>
      </c>
      <c r="EH362" s="1767">
        <v>0</v>
      </c>
      <c r="EI362" s="1767">
        <v>0</v>
      </c>
      <c r="EJ362" s="1767">
        <v>0</v>
      </c>
      <c r="EK362" s="1767">
        <v>0</v>
      </c>
      <c r="EL362" s="1767">
        <v>0</v>
      </c>
      <c r="EM362" s="1767">
        <v>0</v>
      </c>
      <c r="EN362" s="1767">
        <v>0</v>
      </c>
      <c r="EO362" s="1767">
        <v>0</v>
      </c>
      <c r="EP362" s="1767">
        <v>0</v>
      </c>
      <c r="EQ362" s="1767">
        <v>0</v>
      </c>
      <c r="ER362" s="1767">
        <v>0</v>
      </c>
      <c r="ES362" s="1767">
        <v>0</v>
      </c>
      <c r="ET362" s="1767">
        <v>0</v>
      </c>
      <c r="EU362" s="1767">
        <v>0</v>
      </c>
      <c r="EV362" s="1767">
        <v>229</v>
      </c>
      <c r="EW362" s="1767">
        <v>0</v>
      </c>
      <c r="EX362" s="1767">
        <v>0</v>
      </c>
      <c r="EY362" s="1767">
        <v>0</v>
      </c>
      <c r="EZ362" s="1767"/>
      <c r="FA362" s="1767">
        <v>0</v>
      </c>
      <c r="FB362" s="1767"/>
      <c r="FC362" s="1767"/>
      <c r="FD362" s="1767"/>
      <c r="FE362" s="1767"/>
      <c r="FF362" s="1767">
        <v>0</v>
      </c>
      <c r="FG362" s="1767">
        <v>0</v>
      </c>
      <c r="FH362" s="1767">
        <v>0</v>
      </c>
      <c r="FI362" s="1767">
        <v>0</v>
      </c>
    </row>
    <row r="363" spans="1:165">
      <c r="A363" s="1767">
        <v>361</v>
      </c>
      <c r="B363" s="1767" t="s">
        <v>2355</v>
      </c>
      <c r="C363" s="1767" t="s">
        <v>2345</v>
      </c>
      <c r="D363" s="1767" t="s">
        <v>1822</v>
      </c>
      <c r="E363" s="1767" t="s">
        <v>888</v>
      </c>
      <c r="F363" s="1767" t="s">
        <v>1237</v>
      </c>
      <c r="G363" s="1767" t="s">
        <v>1237</v>
      </c>
      <c r="H363" s="1767" t="s">
        <v>1237</v>
      </c>
      <c r="I363" s="1767" t="s">
        <v>2322</v>
      </c>
      <c r="J363" s="1767" t="s">
        <v>2337</v>
      </c>
      <c r="K363" s="1768">
        <v>44774</v>
      </c>
      <c r="L363" s="1767">
        <v>0</v>
      </c>
      <c r="M363" s="1767">
        <v>0</v>
      </c>
      <c r="N363" s="1767">
        <v>32.578000000000003</v>
      </c>
      <c r="O363" s="1767">
        <v>32.578000000000003</v>
      </c>
      <c r="P363" s="1767">
        <v>32.578000000000003</v>
      </c>
      <c r="Q363" s="1767">
        <v>32.578000000000003</v>
      </c>
      <c r="R363" s="1767"/>
      <c r="S363" s="1767">
        <v>509.72</v>
      </c>
      <c r="T363" s="1767">
        <v>119.97</v>
      </c>
      <c r="U363" s="1767"/>
      <c r="V363" s="1767">
        <v>20514.040820000002</v>
      </c>
      <c r="W363" s="1767">
        <v>20514.040820000002</v>
      </c>
      <c r="X363" s="1767">
        <v>18268.439280000002</v>
      </c>
      <c r="Y363" s="1767">
        <v>0</v>
      </c>
      <c r="Z363" s="1767">
        <v>1983.8333868960619</v>
      </c>
      <c r="AA363" s="1767">
        <v>0</v>
      </c>
      <c r="AB363" s="1767">
        <v>0</v>
      </c>
      <c r="AC363" s="1767">
        <v>0</v>
      </c>
      <c r="AD363" s="1767">
        <v>2382.0814336411677</v>
      </c>
      <c r="AE363" s="1767">
        <v>11283.945799331768</v>
      </c>
      <c r="AF363" s="1767">
        <v>3908.5078433604281</v>
      </c>
      <c r="AG363" s="1767">
        <v>0</v>
      </c>
      <c r="AH363" s="1767">
        <v>0</v>
      </c>
      <c r="AI363" s="1767">
        <v>0</v>
      </c>
      <c r="AJ363" s="1767">
        <v>0</v>
      </c>
      <c r="AK363" s="1767">
        <v>0</v>
      </c>
      <c r="AL363" s="1767">
        <v>306.56633965872743</v>
      </c>
      <c r="AM363" s="1767"/>
      <c r="AN363" s="1767">
        <v>70.085010716816768</v>
      </c>
      <c r="AO363" s="1767">
        <v>0</v>
      </c>
      <c r="AP363" s="1767">
        <v>0</v>
      </c>
      <c r="AQ363" s="1767">
        <v>0</v>
      </c>
      <c r="AR363" s="1767">
        <v>0</v>
      </c>
      <c r="AS363" s="1767">
        <v>0</v>
      </c>
      <c r="AT363" s="1767">
        <v>0</v>
      </c>
      <c r="AU363" s="1767">
        <v>0</v>
      </c>
      <c r="AV363" s="1767">
        <v>0</v>
      </c>
      <c r="AW363" s="1767">
        <v>0</v>
      </c>
      <c r="AX363" s="1767">
        <v>0</v>
      </c>
      <c r="AY363" s="1767">
        <v>0</v>
      </c>
      <c r="AZ363" s="1767">
        <v>0</v>
      </c>
      <c r="BA363" s="1767"/>
      <c r="BB363" s="1767">
        <v>0</v>
      </c>
      <c r="BC363" s="1767">
        <v>0</v>
      </c>
      <c r="BD363" s="1767">
        <v>0</v>
      </c>
      <c r="BE363" s="1767">
        <v>0</v>
      </c>
      <c r="BF363" s="1767">
        <v>0</v>
      </c>
      <c r="BG363" s="1767">
        <v>578.98968721251572</v>
      </c>
      <c r="BH363" s="1767">
        <v>0</v>
      </c>
      <c r="BI363" s="1767">
        <v>0</v>
      </c>
      <c r="BJ363" s="1767">
        <v>0</v>
      </c>
      <c r="BK363" s="1767">
        <v>0</v>
      </c>
      <c r="BL363" s="1767">
        <v>0</v>
      </c>
      <c r="BM363" s="1767"/>
      <c r="BN363" s="1767"/>
      <c r="BO363" s="1767"/>
      <c r="BP363" s="1767"/>
      <c r="BQ363" s="1767"/>
      <c r="BR363" s="1767"/>
      <c r="BS363" s="1767"/>
      <c r="BT363" s="1767"/>
      <c r="BU363" s="1767"/>
      <c r="BV363" s="1767">
        <v>4487.497530572944</v>
      </c>
      <c r="BW363" s="1767"/>
      <c r="BX363" s="1767"/>
      <c r="BY363" s="1767"/>
      <c r="BZ363" s="1767"/>
      <c r="CA363" s="1767"/>
      <c r="CB363" s="1767"/>
      <c r="CC363" s="1767"/>
      <c r="CD363" s="1767"/>
      <c r="CE363" s="1767"/>
      <c r="CF363" s="1767"/>
      <c r="CG363" s="1767"/>
      <c r="CH363" s="1767"/>
      <c r="CI363" s="1767">
        <v>18269.560799999999</v>
      </c>
      <c r="CJ363" s="1767">
        <v>-2244.5100199999979</v>
      </c>
      <c r="CK363" s="1767"/>
      <c r="CL363" s="1767"/>
      <c r="CM363" s="1767"/>
      <c r="CN363" s="1767"/>
      <c r="CO363" s="1767">
        <v>-2245.6015400000006</v>
      </c>
      <c r="CP363" s="1767">
        <v>0</v>
      </c>
      <c r="CQ363" s="1767">
        <v>31</v>
      </c>
      <c r="CR363" s="1767">
        <v>-240.23574975284828</v>
      </c>
      <c r="CS363" s="1767">
        <v>0</v>
      </c>
      <c r="CT363" s="1767">
        <v>0</v>
      </c>
      <c r="CU363" s="1767">
        <v>0</v>
      </c>
      <c r="CV363" s="1767">
        <v>0</v>
      </c>
      <c r="CW363" s="1767">
        <v>0</v>
      </c>
      <c r="CX363" s="1767">
        <v>0</v>
      </c>
      <c r="CY363" s="1767">
        <v>0</v>
      </c>
      <c r="CZ363" s="1767">
        <v>-12.744564164877374</v>
      </c>
      <c r="DA363" s="1767">
        <v>0</v>
      </c>
      <c r="DB363" s="1767">
        <v>0</v>
      </c>
      <c r="DC363" s="1767">
        <v>0</v>
      </c>
      <c r="DD363" s="1767">
        <v>0</v>
      </c>
      <c r="DE363" s="1767">
        <v>0</v>
      </c>
      <c r="DF363" s="1767">
        <v>0</v>
      </c>
      <c r="DG363" s="1767">
        <v>0</v>
      </c>
      <c r="DH363" s="1767">
        <v>0</v>
      </c>
      <c r="DI363" s="1767">
        <v>-195.57078900252532</v>
      </c>
      <c r="DJ363" s="1767"/>
      <c r="DK363" s="1767">
        <v>0</v>
      </c>
      <c r="DL363" s="1767">
        <v>0</v>
      </c>
      <c r="DM363" s="1767">
        <v>0</v>
      </c>
      <c r="DN363" s="1767">
        <v>0</v>
      </c>
      <c r="DO363" s="1767">
        <v>-26.12506368170591</v>
      </c>
      <c r="DP363" s="1767">
        <v>-5.7953329037391512</v>
      </c>
      <c r="DQ363" s="1767">
        <v>0</v>
      </c>
      <c r="DR363" s="1767">
        <v>0</v>
      </c>
      <c r="DS363" s="1767"/>
      <c r="DT363" s="1767"/>
      <c r="DU363" s="1767"/>
      <c r="DV363" s="1767">
        <v>11283.945799331768</v>
      </c>
      <c r="DW363" s="1767">
        <v>0</v>
      </c>
      <c r="DX363" s="1767">
        <v>0</v>
      </c>
      <c r="DY363" s="1767">
        <v>-2245.6015400000015</v>
      </c>
      <c r="DZ363" s="1767">
        <v>0</v>
      </c>
      <c r="EA363" s="1767">
        <v>0</v>
      </c>
      <c r="EB363" s="1767">
        <v>0</v>
      </c>
      <c r="EC363" s="1767">
        <v>-2005.08910207999</v>
      </c>
      <c r="ED363" s="1767">
        <v>0</v>
      </c>
      <c r="EE363" s="1767">
        <v>0</v>
      </c>
      <c r="EF363" s="1767">
        <v>0</v>
      </c>
      <c r="EG363" s="1767">
        <v>0</v>
      </c>
      <c r="EH363" s="1767">
        <v>0</v>
      </c>
      <c r="EI363" s="1767">
        <v>0</v>
      </c>
      <c r="EJ363" s="1767">
        <v>0</v>
      </c>
      <c r="EK363" s="1767">
        <v>0</v>
      </c>
      <c r="EL363" s="1767">
        <v>0</v>
      </c>
      <c r="EM363" s="1767">
        <v>0</v>
      </c>
      <c r="EN363" s="1767">
        <v>0</v>
      </c>
      <c r="EO363" s="1767">
        <v>0</v>
      </c>
      <c r="EP363" s="1767">
        <v>0</v>
      </c>
      <c r="EQ363" s="1767">
        <v>0</v>
      </c>
      <c r="ER363" s="1767">
        <v>0</v>
      </c>
      <c r="ES363" s="1767">
        <v>0</v>
      </c>
      <c r="ET363" s="1767">
        <v>0</v>
      </c>
      <c r="EU363" s="1767">
        <v>0</v>
      </c>
      <c r="EV363" s="1767">
        <v>229</v>
      </c>
      <c r="EW363" s="1767">
        <v>0</v>
      </c>
      <c r="EX363" s="1767">
        <v>0</v>
      </c>
      <c r="EY363" s="1767">
        <v>0</v>
      </c>
      <c r="EZ363" s="1767"/>
      <c r="FA363" s="1767">
        <v>0</v>
      </c>
      <c r="FB363" s="1767"/>
      <c r="FC363" s="1767"/>
      <c r="FD363" s="1767"/>
      <c r="FE363" s="1767"/>
      <c r="FF363" s="1767">
        <v>0</v>
      </c>
      <c r="FG363" s="1767">
        <v>0</v>
      </c>
      <c r="FH363" s="1767">
        <v>0</v>
      </c>
      <c r="FI363" s="1767">
        <v>0</v>
      </c>
    </row>
    <row r="364" spans="1:165">
      <c r="A364" s="1767">
        <v>362</v>
      </c>
      <c r="B364" s="1767" t="s">
        <v>2355</v>
      </c>
      <c r="C364" s="1767" t="s">
        <v>2345</v>
      </c>
      <c r="D364" s="1767" t="s">
        <v>1822</v>
      </c>
      <c r="E364" s="1767" t="s">
        <v>888</v>
      </c>
      <c r="F364" s="1767" t="s">
        <v>1237</v>
      </c>
      <c r="G364" s="1767" t="s">
        <v>1237</v>
      </c>
      <c r="H364" s="1767" t="s">
        <v>1237</v>
      </c>
      <c r="I364" s="1767" t="s">
        <v>2322</v>
      </c>
      <c r="J364" s="1767" t="s">
        <v>2337</v>
      </c>
      <c r="K364" s="1768">
        <v>44774</v>
      </c>
      <c r="L364" s="1767">
        <v>0</v>
      </c>
      <c r="M364" s="1767">
        <v>0</v>
      </c>
      <c r="N364" s="1767">
        <v>0.17499999999999999</v>
      </c>
      <c r="O364" s="1767">
        <v>0.17499999999999999</v>
      </c>
      <c r="P364" s="1767">
        <v>0.17499999999999999</v>
      </c>
      <c r="Q364" s="1767">
        <v>0.17499999999999999</v>
      </c>
      <c r="R364" s="1767"/>
      <c r="S364" s="1767">
        <v>509.72</v>
      </c>
      <c r="T364" s="1767">
        <v>119.97</v>
      </c>
      <c r="U364" s="1767"/>
      <c r="V364" s="1767">
        <v>110.19574999999999</v>
      </c>
      <c r="W364" s="1767">
        <v>110.19574999999999</v>
      </c>
      <c r="X364" s="1767">
        <v>98.132999999999996</v>
      </c>
      <c r="Y364" s="1767">
        <v>0</v>
      </c>
      <c r="Z364" s="1767">
        <v>10.656603926171368</v>
      </c>
      <c r="AA364" s="1767">
        <v>0</v>
      </c>
      <c r="AB364" s="1767">
        <v>0</v>
      </c>
      <c r="AC364" s="1767">
        <v>0</v>
      </c>
      <c r="AD364" s="1767">
        <v>12.795882217668497</v>
      </c>
      <c r="AE364" s="1767">
        <v>60.614233988675153</v>
      </c>
      <c r="AF364" s="1767">
        <v>20.995422450367574</v>
      </c>
      <c r="AG364" s="1767">
        <v>0</v>
      </c>
      <c r="AH364" s="1767">
        <v>0</v>
      </c>
      <c r="AI364" s="1767">
        <v>0</v>
      </c>
      <c r="AJ364" s="1767">
        <v>0</v>
      </c>
      <c r="AK364" s="1767">
        <v>0</v>
      </c>
      <c r="AL364" s="1767">
        <v>1.6467895340498893</v>
      </c>
      <c r="AM364" s="1767"/>
      <c r="AN364" s="1767">
        <v>0.37647728146119874</v>
      </c>
      <c r="AO364" s="1767">
        <v>0</v>
      </c>
      <c r="AP364" s="1767">
        <v>0</v>
      </c>
      <c r="AQ364" s="1767">
        <v>0</v>
      </c>
      <c r="AR364" s="1767">
        <v>0</v>
      </c>
      <c r="AS364" s="1767">
        <v>0</v>
      </c>
      <c r="AT364" s="1767">
        <v>0</v>
      </c>
      <c r="AU364" s="1767">
        <v>0</v>
      </c>
      <c r="AV364" s="1767">
        <v>0</v>
      </c>
      <c r="AW364" s="1767">
        <v>0</v>
      </c>
      <c r="AX364" s="1767">
        <v>0</v>
      </c>
      <c r="AY364" s="1767">
        <v>0</v>
      </c>
      <c r="AZ364" s="1767">
        <v>0</v>
      </c>
      <c r="BA364" s="1767"/>
      <c r="BB364" s="1767">
        <v>0</v>
      </c>
      <c r="BC364" s="1767">
        <v>0</v>
      </c>
      <c r="BD364" s="1767">
        <v>0</v>
      </c>
      <c r="BE364" s="1767">
        <v>0</v>
      </c>
      <c r="BF364" s="1767">
        <v>0</v>
      </c>
      <c r="BG364" s="1767">
        <v>3.1101723636254599</v>
      </c>
      <c r="BH364" s="1767">
        <v>0</v>
      </c>
      <c r="BI364" s="1767">
        <v>0</v>
      </c>
      <c r="BJ364" s="1767">
        <v>0</v>
      </c>
      <c r="BK364" s="1767">
        <v>0</v>
      </c>
      <c r="BL364" s="1767">
        <v>0</v>
      </c>
      <c r="BM364" s="1767"/>
      <c r="BN364" s="1767"/>
      <c r="BO364" s="1767"/>
      <c r="BP364" s="1767"/>
      <c r="BQ364" s="1767"/>
      <c r="BR364" s="1767"/>
      <c r="BS364" s="1767"/>
      <c r="BT364" s="1767"/>
      <c r="BU364" s="1767"/>
      <c r="BV364" s="1767">
        <v>24.105594813993033</v>
      </c>
      <c r="BW364" s="1767"/>
      <c r="BX364" s="1767"/>
      <c r="BY364" s="1767"/>
      <c r="BZ364" s="1767"/>
      <c r="CA364" s="1767"/>
      <c r="CB364" s="1767"/>
      <c r="CC364" s="1767"/>
      <c r="CD364" s="1767"/>
      <c r="CE364" s="1767"/>
      <c r="CF364" s="1767"/>
      <c r="CG364" s="1767"/>
      <c r="CH364" s="1767"/>
      <c r="CI364" s="1767">
        <v>100.93680000000001</v>
      </c>
      <c r="CJ364" s="1767">
        <v>-9.2889499999999998</v>
      </c>
      <c r="CK364" s="1767"/>
      <c r="CL364" s="1767"/>
      <c r="CM364" s="1767"/>
      <c r="CN364" s="1767"/>
      <c r="CO364" s="1767">
        <v>-12.062750000000001</v>
      </c>
      <c r="CP364" s="1767">
        <v>0</v>
      </c>
      <c r="CQ364" s="1767">
        <v>31</v>
      </c>
      <c r="CR364" s="1767">
        <v>-1.2904799621446514</v>
      </c>
      <c r="CS364" s="1767">
        <v>0</v>
      </c>
      <c r="CT364" s="1767">
        <v>0</v>
      </c>
      <c r="CU364" s="1767">
        <v>0</v>
      </c>
      <c r="CV364" s="1767">
        <v>0</v>
      </c>
      <c r="CW364" s="1767">
        <v>0</v>
      </c>
      <c r="CX364" s="1767">
        <v>0</v>
      </c>
      <c r="CY364" s="1767">
        <v>0</v>
      </c>
      <c r="CZ364" s="1767">
        <v>-6.8460271620528701E-2</v>
      </c>
      <c r="DA364" s="1767">
        <v>0</v>
      </c>
      <c r="DB364" s="1767">
        <v>0</v>
      </c>
      <c r="DC364" s="1767">
        <v>0</v>
      </c>
      <c r="DD364" s="1767">
        <v>0</v>
      </c>
      <c r="DE364" s="1767">
        <v>0</v>
      </c>
      <c r="DF364" s="1767">
        <v>0</v>
      </c>
      <c r="DG364" s="1767">
        <v>0</v>
      </c>
      <c r="DH364" s="1767">
        <v>0</v>
      </c>
      <c r="DI364" s="1767">
        <v>-1.0505521540745892</v>
      </c>
      <c r="DJ364" s="1767"/>
      <c r="DK364" s="1767">
        <v>0</v>
      </c>
      <c r="DL364" s="1767">
        <v>0</v>
      </c>
      <c r="DM364" s="1767">
        <v>0</v>
      </c>
      <c r="DN364" s="1767">
        <v>0</v>
      </c>
      <c r="DO364" s="1767">
        <v>-0.14033661195587621</v>
      </c>
      <c r="DP364" s="1767">
        <v>-3.1130924493656786E-2</v>
      </c>
      <c r="DQ364" s="1767">
        <v>0</v>
      </c>
      <c r="DR364" s="1767">
        <v>0</v>
      </c>
      <c r="DS364" s="1767"/>
      <c r="DT364" s="1767"/>
      <c r="DU364" s="1767"/>
      <c r="DV364" s="1767">
        <v>60.614233988675153</v>
      </c>
      <c r="DW364" s="1767">
        <v>0</v>
      </c>
      <c r="DX364" s="1767">
        <v>0</v>
      </c>
      <c r="DY364" s="1767">
        <v>-12.062749999999994</v>
      </c>
      <c r="DZ364" s="1767">
        <v>0</v>
      </c>
      <c r="EA364" s="1767">
        <v>0</v>
      </c>
      <c r="EB364" s="1767">
        <v>0</v>
      </c>
      <c r="EC364" s="1767">
        <v>-10.770783745595132</v>
      </c>
      <c r="ED364" s="1767">
        <v>0</v>
      </c>
      <c r="EE364" s="1767">
        <v>0</v>
      </c>
      <c r="EF364" s="1767">
        <v>0</v>
      </c>
      <c r="EG364" s="1767">
        <v>0</v>
      </c>
      <c r="EH364" s="1767">
        <v>0</v>
      </c>
      <c r="EI364" s="1767">
        <v>0</v>
      </c>
      <c r="EJ364" s="1767">
        <v>0</v>
      </c>
      <c r="EK364" s="1767">
        <v>0</v>
      </c>
      <c r="EL364" s="1767">
        <v>0</v>
      </c>
      <c r="EM364" s="1767">
        <v>0</v>
      </c>
      <c r="EN364" s="1767">
        <v>0</v>
      </c>
      <c r="EO364" s="1767">
        <v>0</v>
      </c>
      <c r="EP364" s="1767">
        <v>0</v>
      </c>
      <c r="EQ364" s="1767">
        <v>0</v>
      </c>
      <c r="ER364" s="1767">
        <v>0</v>
      </c>
      <c r="ES364" s="1767">
        <v>0</v>
      </c>
      <c r="ET364" s="1767">
        <v>0</v>
      </c>
      <c r="EU364" s="1767">
        <v>0</v>
      </c>
      <c r="EV364" s="1767">
        <v>229</v>
      </c>
      <c r="EW364" s="1767">
        <v>0</v>
      </c>
      <c r="EX364" s="1767">
        <v>0</v>
      </c>
      <c r="EY364" s="1767">
        <v>0</v>
      </c>
      <c r="EZ364" s="1767"/>
      <c r="FA364" s="1767">
        <v>0</v>
      </c>
      <c r="FB364" s="1767"/>
      <c r="FC364" s="1767"/>
      <c r="FD364" s="1767"/>
      <c r="FE364" s="1767"/>
      <c r="FF364" s="1767">
        <v>0</v>
      </c>
      <c r="FG364" s="1767">
        <v>0</v>
      </c>
      <c r="FH364" s="1767">
        <v>0</v>
      </c>
      <c r="FI364" s="1767">
        <v>0</v>
      </c>
    </row>
    <row r="365" spans="1:165">
      <c r="A365" s="1767">
        <v>363</v>
      </c>
      <c r="B365" s="1767" t="s">
        <v>2355</v>
      </c>
      <c r="C365" s="1767" t="s">
        <v>2345</v>
      </c>
      <c r="D365" s="1767" t="s">
        <v>1822</v>
      </c>
      <c r="E365" s="1767" t="s">
        <v>888</v>
      </c>
      <c r="F365" s="1767" t="s">
        <v>1237</v>
      </c>
      <c r="G365" s="1767" t="s">
        <v>1237</v>
      </c>
      <c r="H365" s="1767" t="s">
        <v>1237</v>
      </c>
      <c r="I365" s="1767" t="s">
        <v>1237</v>
      </c>
      <c r="J365" s="1767" t="s">
        <v>2337</v>
      </c>
      <c r="K365" s="1768">
        <v>44774</v>
      </c>
      <c r="L365" s="1767">
        <v>0</v>
      </c>
      <c r="M365" s="1767">
        <v>0</v>
      </c>
      <c r="N365" s="1767">
        <v>0</v>
      </c>
      <c r="O365" s="1767">
        <v>0</v>
      </c>
      <c r="P365" s="1767">
        <v>0</v>
      </c>
      <c r="Q365" s="1767">
        <v>0</v>
      </c>
      <c r="R365" s="1767"/>
      <c r="S365" s="1767"/>
      <c r="T365" s="1767"/>
      <c r="U365" s="1767"/>
      <c r="V365" s="1767"/>
      <c r="W365" s="1767"/>
      <c r="X365" s="1767"/>
      <c r="Y365" s="1767"/>
      <c r="Z365" s="1767"/>
      <c r="AA365" s="1767">
        <v>0</v>
      </c>
      <c r="AB365" s="1767"/>
      <c r="AC365" s="1767"/>
      <c r="AD365" s="1767"/>
      <c r="AE365" s="1767"/>
      <c r="AF365" s="1767"/>
      <c r="AG365" s="1767"/>
      <c r="AH365" s="1767"/>
      <c r="AI365" s="1767"/>
      <c r="AJ365" s="1767"/>
      <c r="AK365" s="1767"/>
      <c r="AL365" s="1767"/>
      <c r="AM365" s="1767"/>
      <c r="AN365" s="1767"/>
      <c r="AO365" s="1767"/>
      <c r="AP365" s="1767"/>
      <c r="AQ365" s="1767"/>
      <c r="AR365" s="1767"/>
      <c r="AS365" s="1767"/>
      <c r="AT365" s="1767"/>
      <c r="AU365" s="1767"/>
      <c r="AV365" s="1767"/>
      <c r="AW365" s="1767"/>
      <c r="AX365" s="1767"/>
      <c r="AY365" s="1767"/>
      <c r="AZ365" s="1767">
        <v>0</v>
      </c>
      <c r="BA365" s="1767"/>
      <c r="BB365" s="1767"/>
      <c r="BC365" s="1767"/>
      <c r="BD365" s="1767"/>
      <c r="BE365" s="1767"/>
      <c r="BF365" s="1767"/>
      <c r="BG365" s="1767"/>
      <c r="BH365" s="1767"/>
      <c r="BI365" s="1767">
        <v>0</v>
      </c>
      <c r="BJ365" s="1767">
        <v>0</v>
      </c>
      <c r="BK365" s="1767">
        <v>3809.19</v>
      </c>
      <c r="BL365" s="1767">
        <v>7</v>
      </c>
      <c r="BM365" s="1767"/>
      <c r="BN365" s="1767"/>
      <c r="BO365" s="1767"/>
      <c r="BP365" s="1767"/>
      <c r="BQ365" s="1767"/>
      <c r="BR365" s="1767"/>
      <c r="BS365" s="1767"/>
      <c r="BT365" s="1767"/>
      <c r="BU365" s="1767"/>
      <c r="BV365" s="1767"/>
      <c r="BW365" s="1767"/>
      <c r="BX365" s="1767"/>
      <c r="BY365" s="1767"/>
      <c r="BZ365" s="1767"/>
      <c r="CA365" s="1767"/>
      <c r="CB365" s="1767"/>
      <c r="CC365" s="1767"/>
      <c r="CD365" s="1767"/>
      <c r="CE365" s="1767"/>
      <c r="CF365" s="1767"/>
      <c r="CG365" s="1767"/>
      <c r="CH365" s="1767"/>
      <c r="CI365" s="1767"/>
      <c r="CJ365" s="1767">
        <v>-0.03</v>
      </c>
      <c r="CK365" s="1767"/>
      <c r="CL365" s="1767"/>
      <c r="CM365" s="1767"/>
      <c r="CN365" s="1767"/>
      <c r="CO365" s="1767">
        <v>0</v>
      </c>
      <c r="CP365" s="1767">
        <v>0</v>
      </c>
      <c r="CQ365" s="1767">
        <v>31</v>
      </c>
      <c r="CR365" s="1767"/>
      <c r="CS365" s="1767"/>
      <c r="CT365" s="1767"/>
      <c r="CU365" s="1767"/>
      <c r="CV365" s="1767"/>
      <c r="CW365" s="1767"/>
      <c r="CX365" s="1767"/>
      <c r="CY365" s="1767"/>
      <c r="CZ365" s="1767"/>
      <c r="DA365" s="1767"/>
      <c r="DB365" s="1767"/>
      <c r="DC365" s="1767"/>
      <c r="DD365" s="1767"/>
      <c r="DE365" s="1767"/>
      <c r="DF365" s="1767"/>
      <c r="DG365" s="1767"/>
      <c r="DH365" s="1767"/>
      <c r="DI365" s="1767"/>
      <c r="DJ365" s="1767"/>
      <c r="DK365" s="1767">
        <v>0</v>
      </c>
      <c r="DL365" s="1767"/>
      <c r="DM365" s="1767"/>
      <c r="DN365" s="1767"/>
      <c r="DO365" s="1767"/>
      <c r="DP365" s="1767"/>
      <c r="DQ365" s="1767"/>
      <c r="DR365" s="1767"/>
      <c r="DS365" s="1767"/>
      <c r="DT365" s="1767"/>
      <c r="DU365" s="1767"/>
      <c r="DV365" s="1767"/>
      <c r="DW365" s="1767"/>
      <c r="DX365" s="1767"/>
      <c r="DY365" s="1767"/>
      <c r="DZ365" s="1767"/>
      <c r="EA365" s="1767"/>
      <c r="EB365" s="1767"/>
      <c r="EC365" s="1767"/>
      <c r="ED365" s="1767"/>
      <c r="EE365" s="1767"/>
      <c r="EF365" s="1767"/>
      <c r="EG365" s="1767"/>
      <c r="EH365" s="1767"/>
      <c r="EI365" s="1767"/>
      <c r="EJ365" s="1767"/>
      <c r="EK365" s="1767"/>
      <c r="EL365" s="1767"/>
      <c r="EM365" s="1767"/>
      <c r="EN365" s="1767"/>
      <c r="EO365" s="1767"/>
      <c r="EP365" s="1767"/>
      <c r="EQ365" s="1767"/>
      <c r="ER365" s="1767"/>
      <c r="ES365" s="1767"/>
      <c r="ET365" s="1767"/>
      <c r="EU365" s="1767"/>
      <c r="EV365" s="1767">
        <v>229</v>
      </c>
      <c r="EW365" s="1767"/>
      <c r="EX365" s="1767"/>
      <c r="EY365" s="1767"/>
      <c r="EZ365" s="1767"/>
      <c r="FA365" s="1767">
        <v>0</v>
      </c>
      <c r="FB365" s="1767"/>
      <c r="FC365" s="1767"/>
      <c r="FD365" s="1767"/>
      <c r="FE365" s="1767"/>
      <c r="FF365" s="1767">
        <v>0</v>
      </c>
      <c r="FG365" s="1767">
        <v>0</v>
      </c>
      <c r="FH365" s="1767">
        <v>0</v>
      </c>
      <c r="FI365" s="1767">
        <v>0</v>
      </c>
    </row>
    <row r="366" spans="1:165">
      <c r="A366" s="1767">
        <v>364</v>
      </c>
      <c r="B366" s="1767" t="s">
        <v>2355</v>
      </c>
      <c r="C366" s="1767" t="s">
        <v>2345</v>
      </c>
      <c r="D366" s="1767" t="s">
        <v>1822</v>
      </c>
      <c r="E366" s="1767" t="s">
        <v>888</v>
      </c>
      <c r="F366" s="1767" t="s">
        <v>1237</v>
      </c>
      <c r="G366" s="1767" t="s">
        <v>1237</v>
      </c>
      <c r="H366" s="1767" t="s">
        <v>1237</v>
      </c>
      <c r="I366" s="1767" t="s">
        <v>1237</v>
      </c>
      <c r="J366" s="1767" t="s">
        <v>2337</v>
      </c>
      <c r="K366" s="1768">
        <v>44774</v>
      </c>
      <c r="L366" s="1767">
        <v>0</v>
      </c>
      <c r="M366" s="1767">
        <v>0</v>
      </c>
      <c r="N366" s="1767">
        <v>0</v>
      </c>
      <c r="O366" s="1767">
        <v>0</v>
      </c>
      <c r="P366" s="1767">
        <v>0</v>
      </c>
      <c r="Q366" s="1767">
        <v>0</v>
      </c>
      <c r="R366" s="1767"/>
      <c r="S366" s="1767"/>
      <c r="T366" s="1767"/>
      <c r="U366" s="1767"/>
      <c r="V366" s="1767"/>
      <c r="W366" s="1767"/>
      <c r="X366" s="1767"/>
      <c r="Y366" s="1767"/>
      <c r="Z366" s="1767"/>
      <c r="AA366" s="1767">
        <v>0</v>
      </c>
      <c r="AB366" s="1767"/>
      <c r="AC366" s="1767"/>
      <c r="AD366" s="1767"/>
      <c r="AE366" s="1767"/>
      <c r="AF366" s="1767"/>
      <c r="AG366" s="1767"/>
      <c r="AH366" s="1767"/>
      <c r="AI366" s="1767"/>
      <c r="AJ366" s="1767"/>
      <c r="AK366" s="1767"/>
      <c r="AL366" s="1767"/>
      <c r="AM366" s="1767"/>
      <c r="AN366" s="1767"/>
      <c r="AO366" s="1767"/>
      <c r="AP366" s="1767"/>
      <c r="AQ366" s="1767"/>
      <c r="AR366" s="1767"/>
      <c r="AS366" s="1767"/>
      <c r="AT366" s="1767"/>
      <c r="AU366" s="1767"/>
      <c r="AV366" s="1767"/>
      <c r="AW366" s="1767"/>
      <c r="AX366" s="1767"/>
      <c r="AY366" s="1767"/>
      <c r="AZ366" s="1767">
        <v>0</v>
      </c>
      <c r="BA366" s="1767"/>
      <c r="BB366" s="1767"/>
      <c r="BC366" s="1767"/>
      <c r="BD366" s="1767"/>
      <c r="BE366" s="1767"/>
      <c r="BF366" s="1767"/>
      <c r="BG366" s="1767"/>
      <c r="BH366" s="1767"/>
      <c r="BI366" s="1767">
        <v>0</v>
      </c>
      <c r="BJ366" s="1767">
        <v>0</v>
      </c>
      <c r="BK366" s="1767">
        <v>706.07</v>
      </c>
      <c r="BL366" s="1767">
        <v>2</v>
      </c>
      <c r="BM366" s="1767"/>
      <c r="BN366" s="1767"/>
      <c r="BO366" s="1767"/>
      <c r="BP366" s="1767"/>
      <c r="BQ366" s="1767"/>
      <c r="BR366" s="1767"/>
      <c r="BS366" s="1767"/>
      <c r="BT366" s="1767"/>
      <c r="BU366" s="1767"/>
      <c r="BV366" s="1767"/>
      <c r="BW366" s="1767"/>
      <c r="BX366" s="1767"/>
      <c r="BY366" s="1767"/>
      <c r="BZ366" s="1767"/>
      <c r="CA366" s="1767"/>
      <c r="CB366" s="1767"/>
      <c r="CC366" s="1767"/>
      <c r="CD366" s="1767"/>
      <c r="CE366" s="1767"/>
      <c r="CF366" s="1767"/>
      <c r="CG366" s="1767"/>
      <c r="CH366" s="1767"/>
      <c r="CI366" s="1767"/>
      <c r="CJ366" s="1767">
        <v>-0.03</v>
      </c>
      <c r="CK366" s="1767"/>
      <c r="CL366" s="1767"/>
      <c r="CM366" s="1767"/>
      <c r="CN366" s="1767"/>
      <c r="CO366" s="1767">
        <v>0</v>
      </c>
      <c r="CP366" s="1767">
        <v>0</v>
      </c>
      <c r="CQ366" s="1767">
        <v>31</v>
      </c>
      <c r="CR366" s="1767"/>
      <c r="CS366" s="1767"/>
      <c r="CT366" s="1767"/>
      <c r="CU366" s="1767"/>
      <c r="CV366" s="1767"/>
      <c r="CW366" s="1767"/>
      <c r="CX366" s="1767"/>
      <c r="CY366" s="1767"/>
      <c r="CZ366" s="1767"/>
      <c r="DA366" s="1767"/>
      <c r="DB366" s="1767"/>
      <c r="DC366" s="1767"/>
      <c r="DD366" s="1767"/>
      <c r="DE366" s="1767"/>
      <c r="DF366" s="1767"/>
      <c r="DG366" s="1767"/>
      <c r="DH366" s="1767"/>
      <c r="DI366" s="1767"/>
      <c r="DJ366" s="1767"/>
      <c r="DK366" s="1767">
        <v>0</v>
      </c>
      <c r="DL366" s="1767"/>
      <c r="DM366" s="1767"/>
      <c r="DN366" s="1767"/>
      <c r="DO366" s="1767"/>
      <c r="DP366" s="1767"/>
      <c r="DQ366" s="1767"/>
      <c r="DR366" s="1767"/>
      <c r="DS366" s="1767"/>
      <c r="DT366" s="1767"/>
      <c r="DU366" s="1767"/>
      <c r="DV366" s="1767"/>
      <c r="DW366" s="1767"/>
      <c r="DX366" s="1767"/>
      <c r="DY366" s="1767"/>
      <c r="DZ366" s="1767"/>
      <c r="EA366" s="1767"/>
      <c r="EB366" s="1767"/>
      <c r="EC366" s="1767"/>
      <c r="ED366" s="1767"/>
      <c r="EE366" s="1767"/>
      <c r="EF366" s="1767"/>
      <c r="EG366" s="1767"/>
      <c r="EH366" s="1767"/>
      <c r="EI366" s="1767"/>
      <c r="EJ366" s="1767"/>
      <c r="EK366" s="1767"/>
      <c r="EL366" s="1767"/>
      <c r="EM366" s="1767"/>
      <c r="EN366" s="1767"/>
      <c r="EO366" s="1767"/>
      <c r="EP366" s="1767"/>
      <c r="EQ366" s="1767"/>
      <c r="ER366" s="1767"/>
      <c r="ES366" s="1767"/>
      <c r="ET366" s="1767"/>
      <c r="EU366" s="1767"/>
      <c r="EV366" s="1767">
        <v>229</v>
      </c>
      <c r="EW366" s="1767"/>
      <c r="EX366" s="1767"/>
      <c r="EY366" s="1767"/>
      <c r="EZ366" s="1767"/>
      <c r="FA366" s="1767">
        <v>0</v>
      </c>
      <c r="FB366" s="1767"/>
      <c r="FC366" s="1767"/>
      <c r="FD366" s="1767"/>
      <c r="FE366" s="1767"/>
      <c r="FF366" s="1767">
        <v>0</v>
      </c>
      <c r="FG366" s="1767">
        <v>0</v>
      </c>
      <c r="FH366" s="1767">
        <v>0</v>
      </c>
      <c r="FI366" s="1767">
        <v>0</v>
      </c>
    </row>
    <row r="367" spans="1:165">
      <c r="A367" s="1767">
        <v>365</v>
      </c>
      <c r="B367" s="1767" t="s">
        <v>2355</v>
      </c>
      <c r="C367" s="1767" t="s">
        <v>2345</v>
      </c>
      <c r="D367" s="1767" t="s">
        <v>1822</v>
      </c>
      <c r="E367" s="1767" t="s">
        <v>888</v>
      </c>
      <c r="F367" s="1767" t="s">
        <v>1237</v>
      </c>
      <c r="G367" s="1767" t="s">
        <v>1237</v>
      </c>
      <c r="H367" s="1767" t="s">
        <v>1237</v>
      </c>
      <c r="I367" s="1767" t="s">
        <v>2346</v>
      </c>
      <c r="J367" s="1767" t="s">
        <v>2337</v>
      </c>
      <c r="K367" s="1768">
        <v>44774</v>
      </c>
      <c r="L367" s="1767">
        <v>0</v>
      </c>
      <c r="M367" s="1767">
        <v>0</v>
      </c>
      <c r="N367" s="1767">
        <v>0.113</v>
      </c>
      <c r="O367" s="1767">
        <v>0.113</v>
      </c>
      <c r="P367" s="1767">
        <v>0.113</v>
      </c>
      <c r="Q367" s="1767">
        <v>0.113</v>
      </c>
      <c r="R367" s="1767"/>
      <c r="S367" s="1767">
        <v>1348.63</v>
      </c>
      <c r="T367" s="1767">
        <v>119.97</v>
      </c>
      <c r="U367" s="1767"/>
      <c r="V367" s="1767">
        <v>165.95180000000002</v>
      </c>
      <c r="W367" s="1767">
        <v>165.95180000000002</v>
      </c>
      <c r="X367" s="1767">
        <v>144.16540000000001</v>
      </c>
      <c r="Y367" s="1767">
        <v>0</v>
      </c>
      <c r="Z367" s="1767">
        <v>6.8811213923277972</v>
      </c>
      <c r="AA367" s="1767">
        <v>0</v>
      </c>
      <c r="AB367" s="1767">
        <v>0</v>
      </c>
      <c r="AC367" s="1767">
        <v>0</v>
      </c>
      <c r="AD367" s="1767">
        <v>24.780543407404597</v>
      </c>
      <c r="AE367" s="1767">
        <v>117.41832337855078</v>
      </c>
      <c r="AF367" s="1767">
        <v>13.557044210808778</v>
      </c>
      <c r="AG367" s="1767">
        <v>0</v>
      </c>
      <c r="AH367" s="1767">
        <v>0</v>
      </c>
      <c r="AI367" s="1767">
        <v>0</v>
      </c>
      <c r="AJ367" s="1767">
        <v>0</v>
      </c>
      <c r="AK367" s="1767">
        <v>0</v>
      </c>
      <c r="AL367" s="1767">
        <v>1.0633555277007858</v>
      </c>
      <c r="AM367" s="1767"/>
      <c r="AN367" s="1767">
        <v>0.24309675888637408</v>
      </c>
      <c r="AO367" s="1767">
        <v>0</v>
      </c>
      <c r="AP367" s="1767">
        <v>0</v>
      </c>
      <c r="AQ367" s="1767">
        <v>0</v>
      </c>
      <c r="AR367" s="1767">
        <v>0</v>
      </c>
      <c r="AS367" s="1767">
        <v>0</v>
      </c>
      <c r="AT367" s="1767">
        <v>0</v>
      </c>
      <c r="AU367" s="1767">
        <v>0</v>
      </c>
      <c r="AV367" s="1767">
        <v>0</v>
      </c>
      <c r="AW367" s="1767">
        <v>0</v>
      </c>
      <c r="AX367" s="1767">
        <v>0</v>
      </c>
      <c r="AY367" s="1767">
        <v>0</v>
      </c>
      <c r="AZ367" s="1767">
        <v>0</v>
      </c>
      <c r="BA367" s="1767"/>
      <c r="BB367" s="1767">
        <v>0</v>
      </c>
      <c r="BC367" s="1767">
        <v>0</v>
      </c>
      <c r="BD367" s="1767">
        <v>0</v>
      </c>
      <c r="BE367" s="1767">
        <v>0</v>
      </c>
      <c r="BF367" s="1767">
        <v>0</v>
      </c>
      <c r="BG367" s="1767">
        <v>2.0082827262267258</v>
      </c>
      <c r="BH367" s="1767">
        <v>0</v>
      </c>
      <c r="BI367" s="1767">
        <v>0</v>
      </c>
      <c r="BJ367" s="1767">
        <v>0</v>
      </c>
      <c r="BK367" s="1767">
        <v>0</v>
      </c>
      <c r="BL367" s="1767">
        <v>0</v>
      </c>
      <c r="BM367" s="1767"/>
      <c r="BN367" s="1767"/>
      <c r="BO367" s="1767"/>
      <c r="BP367" s="1767"/>
      <c r="BQ367" s="1767"/>
      <c r="BR367" s="1767"/>
      <c r="BS367" s="1767"/>
      <c r="BT367" s="1767"/>
      <c r="BU367" s="1767"/>
      <c r="BV367" s="1767">
        <v>15.565326937035504</v>
      </c>
      <c r="BW367" s="1767"/>
      <c r="BX367" s="1767"/>
      <c r="BY367" s="1767"/>
      <c r="BZ367" s="1767"/>
      <c r="CA367" s="1767"/>
      <c r="CB367" s="1767"/>
      <c r="CC367" s="1767"/>
      <c r="CD367" s="1767"/>
      <c r="CE367" s="1767"/>
      <c r="CF367" s="1767"/>
      <c r="CG367" s="1767"/>
      <c r="CH367" s="1767"/>
      <c r="CI367" s="1767">
        <v>140.33799999999999</v>
      </c>
      <c r="CJ367" s="1767">
        <v>-25.643799999999999</v>
      </c>
      <c r="CK367" s="1767"/>
      <c r="CL367" s="1767"/>
      <c r="CM367" s="1767"/>
      <c r="CN367" s="1767"/>
      <c r="CO367" s="1767">
        <v>-21.786400000000022</v>
      </c>
      <c r="CP367" s="1767">
        <v>0</v>
      </c>
      <c r="CQ367" s="1767">
        <v>31</v>
      </c>
      <c r="CR367" s="1767">
        <v>-0.92165593641266241</v>
      </c>
      <c r="CS367" s="1767">
        <v>0</v>
      </c>
      <c r="CT367" s="1767">
        <v>0</v>
      </c>
      <c r="CU367" s="1767">
        <v>0</v>
      </c>
      <c r="CV367" s="1767">
        <v>0</v>
      </c>
      <c r="CW367" s="1767">
        <v>0</v>
      </c>
      <c r="CX367" s="1767">
        <v>0</v>
      </c>
      <c r="CY367" s="1767">
        <v>0</v>
      </c>
      <c r="CZ367" s="1767">
        <v>-0.13258036481708757</v>
      </c>
      <c r="DA367" s="1767">
        <v>0</v>
      </c>
      <c r="DB367" s="1767">
        <v>0</v>
      </c>
      <c r="DC367" s="1767">
        <v>0</v>
      </c>
      <c r="DD367" s="1767">
        <v>0</v>
      </c>
      <c r="DE367" s="1767">
        <v>0</v>
      </c>
      <c r="DF367" s="1767">
        <v>0</v>
      </c>
      <c r="DG367" s="1767">
        <v>0</v>
      </c>
      <c r="DH367" s="1767">
        <v>0</v>
      </c>
      <c r="DI367" s="1767">
        <v>-0.67835653377387661</v>
      </c>
      <c r="DJ367" s="1767"/>
      <c r="DK367" s="1767">
        <v>0</v>
      </c>
      <c r="DL367" s="1767">
        <v>0</v>
      </c>
      <c r="DM367" s="1767">
        <v>0</v>
      </c>
      <c r="DN367" s="1767">
        <v>0</v>
      </c>
      <c r="DO367" s="1767">
        <v>-9.0617355148651546E-2</v>
      </c>
      <c r="DP367" s="1767">
        <v>-2.0101682673046961E-2</v>
      </c>
      <c r="DQ367" s="1767">
        <v>0</v>
      </c>
      <c r="DR367" s="1767">
        <v>0</v>
      </c>
      <c r="DS367" s="1767"/>
      <c r="DT367" s="1767"/>
      <c r="DU367" s="1767"/>
      <c r="DV367" s="1767">
        <v>117.41832337855078</v>
      </c>
      <c r="DW367" s="1767">
        <v>0</v>
      </c>
      <c r="DX367" s="1767">
        <v>0</v>
      </c>
      <c r="DY367" s="1767">
        <v>-21.786400000000015</v>
      </c>
      <c r="DZ367" s="1767">
        <v>0</v>
      </c>
      <c r="EA367" s="1767">
        <v>0</v>
      </c>
      <c r="EB367" s="1767">
        <v>0</v>
      </c>
      <c r="EC367" s="1767">
        <v>-20.864527779350126</v>
      </c>
      <c r="ED367" s="1767">
        <v>0</v>
      </c>
      <c r="EE367" s="1767">
        <v>0</v>
      </c>
      <c r="EF367" s="1767">
        <v>0</v>
      </c>
      <c r="EG367" s="1767">
        <v>0</v>
      </c>
      <c r="EH367" s="1767">
        <v>0</v>
      </c>
      <c r="EI367" s="1767">
        <v>0</v>
      </c>
      <c r="EJ367" s="1767">
        <v>0</v>
      </c>
      <c r="EK367" s="1767">
        <v>0</v>
      </c>
      <c r="EL367" s="1767">
        <v>0</v>
      </c>
      <c r="EM367" s="1767">
        <v>0</v>
      </c>
      <c r="EN367" s="1767">
        <v>0</v>
      </c>
      <c r="EO367" s="1767">
        <v>0</v>
      </c>
      <c r="EP367" s="1767">
        <v>0</v>
      </c>
      <c r="EQ367" s="1767">
        <v>0</v>
      </c>
      <c r="ER367" s="1767">
        <v>0</v>
      </c>
      <c r="ES367" s="1767">
        <v>0</v>
      </c>
      <c r="ET367" s="1767">
        <v>0</v>
      </c>
      <c r="EU367" s="1767">
        <v>0</v>
      </c>
      <c r="EV367" s="1767">
        <v>229</v>
      </c>
      <c r="EW367" s="1767">
        <v>0</v>
      </c>
      <c r="EX367" s="1767">
        <v>0</v>
      </c>
      <c r="EY367" s="1767">
        <v>0</v>
      </c>
      <c r="EZ367" s="1767"/>
      <c r="FA367" s="1767">
        <v>0</v>
      </c>
      <c r="FB367" s="1767"/>
      <c r="FC367" s="1767"/>
      <c r="FD367" s="1767"/>
      <c r="FE367" s="1767"/>
      <c r="FF367" s="1767">
        <v>0</v>
      </c>
      <c r="FG367" s="1767">
        <v>0</v>
      </c>
      <c r="FH367" s="1767">
        <v>0</v>
      </c>
      <c r="FI367" s="1767">
        <v>0</v>
      </c>
    </row>
    <row r="368" spans="1:165">
      <c r="A368" s="1767">
        <v>366</v>
      </c>
      <c r="B368" s="1767" t="s">
        <v>2355</v>
      </c>
      <c r="C368" s="1767" t="s">
        <v>2345</v>
      </c>
      <c r="D368" s="1767" t="s">
        <v>1822</v>
      </c>
      <c r="E368" s="1767" t="s">
        <v>888</v>
      </c>
      <c r="F368" s="1767" t="s">
        <v>1237</v>
      </c>
      <c r="G368" s="1767" t="s">
        <v>1237</v>
      </c>
      <c r="H368" s="1767" t="s">
        <v>1237</v>
      </c>
      <c r="I368" s="1767" t="s">
        <v>2346</v>
      </c>
      <c r="J368" s="1767" t="s">
        <v>2337</v>
      </c>
      <c r="K368" s="1768">
        <v>44774</v>
      </c>
      <c r="L368" s="1767">
        <v>0</v>
      </c>
      <c r="M368" s="1767">
        <v>0</v>
      </c>
      <c r="N368" s="1767">
        <v>1.2999999999999999E-2</v>
      </c>
      <c r="O368" s="1767">
        <v>1.2999999999999999E-2</v>
      </c>
      <c r="P368" s="1767">
        <v>1.2999999999999999E-2</v>
      </c>
      <c r="Q368" s="1767">
        <v>1.2999999999999999E-2</v>
      </c>
      <c r="R368" s="1767"/>
      <c r="S368" s="1767">
        <v>1348.63</v>
      </c>
      <c r="T368" s="1767">
        <v>119.97</v>
      </c>
      <c r="U368" s="1767"/>
      <c r="V368" s="1767">
        <v>19.091799999999999</v>
      </c>
      <c r="W368" s="1767">
        <v>19.091799999999999</v>
      </c>
      <c r="X368" s="1767">
        <v>16.5854</v>
      </c>
      <c r="Y368" s="1767">
        <v>0</v>
      </c>
      <c r="Z368" s="1767">
        <v>0.79163343451558732</v>
      </c>
      <c r="AA368" s="1767">
        <v>0</v>
      </c>
      <c r="AB368" s="1767">
        <v>0</v>
      </c>
      <c r="AC368" s="1767">
        <v>0</v>
      </c>
      <c r="AD368" s="1767">
        <v>2.8508589760730949</v>
      </c>
      <c r="AE368" s="1767">
        <v>13.508302689567788</v>
      </c>
      <c r="AF368" s="1767">
        <v>1.5596599534558768</v>
      </c>
      <c r="AG368" s="1767">
        <v>0</v>
      </c>
      <c r="AH368" s="1767">
        <v>0</v>
      </c>
      <c r="AI368" s="1767">
        <v>0</v>
      </c>
      <c r="AJ368" s="1767">
        <v>0</v>
      </c>
      <c r="AK368" s="1767">
        <v>0</v>
      </c>
      <c r="AL368" s="1767">
        <v>0.12233293681513463</v>
      </c>
      <c r="AM368" s="1767"/>
      <c r="AN368" s="1767">
        <v>2.7966883765689052E-2</v>
      </c>
      <c r="AO368" s="1767">
        <v>0</v>
      </c>
      <c r="AP368" s="1767">
        <v>0</v>
      </c>
      <c r="AQ368" s="1767">
        <v>0</v>
      </c>
      <c r="AR368" s="1767">
        <v>0</v>
      </c>
      <c r="AS368" s="1767">
        <v>0</v>
      </c>
      <c r="AT368" s="1767">
        <v>0</v>
      </c>
      <c r="AU368" s="1767">
        <v>0</v>
      </c>
      <c r="AV368" s="1767">
        <v>0</v>
      </c>
      <c r="AW368" s="1767">
        <v>0</v>
      </c>
      <c r="AX368" s="1767">
        <v>0</v>
      </c>
      <c r="AY368" s="1767">
        <v>0</v>
      </c>
      <c r="AZ368" s="1767">
        <v>0</v>
      </c>
      <c r="BA368" s="1767"/>
      <c r="BB368" s="1767">
        <v>0</v>
      </c>
      <c r="BC368" s="1767">
        <v>0</v>
      </c>
      <c r="BD368" s="1767">
        <v>0</v>
      </c>
      <c r="BE368" s="1767">
        <v>0</v>
      </c>
      <c r="BF368" s="1767">
        <v>0</v>
      </c>
      <c r="BG368" s="1767">
        <v>0.23104137558360557</v>
      </c>
      <c r="BH368" s="1767">
        <v>0</v>
      </c>
      <c r="BI368" s="1767">
        <v>0</v>
      </c>
      <c r="BJ368" s="1767">
        <v>0</v>
      </c>
      <c r="BK368" s="1767">
        <v>0</v>
      </c>
      <c r="BL368" s="1767">
        <v>0</v>
      </c>
      <c r="BM368" s="1767"/>
      <c r="BN368" s="1767"/>
      <c r="BO368" s="1767"/>
      <c r="BP368" s="1767"/>
      <c r="BQ368" s="1767"/>
      <c r="BR368" s="1767"/>
      <c r="BS368" s="1767"/>
      <c r="BT368" s="1767"/>
      <c r="BU368" s="1767"/>
      <c r="BV368" s="1767">
        <v>1.7907013290394824</v>
      </c>
      <c r="BW368" s="1767"/>
      <c r="BX368" s="1767"/>
      <c r="BY368" s="1767"/>
      <c r="BZ368" s="1767"/>
      <c r="CA368" s="1767"/>
      <c r="CB368" s="1767"/>
      <c r="CC368" s="1767"/>
      <c r="CD368" s="1767"/>
      <c r="CE368" s="1767"/>
      <c r="CF368" s="1767"/>
      <c r="CG368" s="1767"/>
      <c r="CH368" s="1767"/>
      <c r="CI368" s="1767">
        <v>12.757999999999999</v>
      </c>
      <c r="CJ368" s="1767">
        <v>-6.3638000000000048</v>
      </c>
      <c r="CK368" s="1767"/>
      <c r="CL368" s="1767"/>
      <c r="CM368" s="1767"/>
      <c r="CN368" s="1767"/>
      <c r="CO368" s="1767">
        <v>-2.5064000000000024</v>
      </c>
      <c r="CP368" s="1767">
        <v>0</v>
      </c>
      <c r="CQ368" s="1767">
        <v>31</v>
      </c>
      <c r="CR368" s="1767">
        <v>-0.10603121392358084</v>
      </c>
      <c r="CS368" s="1767">
        <v>0</v>
      </c>
      <c r="CT368" s="1767">
        <v>0</v>
      </c>
      <c r="CU368" s="1767">
        <v>0</v>
      </c>
      <c r="CV368" s="1767">
        <v>0</v>
      </c>
      <c r="CW368" s="1767">
        <v>0</v>
      </c>
      <c r="CX368" s="1767">
        <v>0</v>
      </c>
      <c r="CY368" s="1767">
        <v>0</v>
      </c>
      <c r="CZ368" s="1767">
        <v>-1.5252608341788765E-2</v>
      </c>
      <c r="DA368" s="1767">
        <v>0</v>
      </c>
      <c r="DB368" s="1767">
        <v>0</v>
      </c>
      <c r="DC368" s="1767">
        <v>0</v>
      </c>
      <c r="DD368" s="1767">
        <v>0</v>
      </c>
      <c r="DE368" s="1767">
        <v>0</v>
      </c>
      <c r="DF368" s="1767">
        <v>0</v>
      </c>
      <c r="DG368" s="1767">
        <v>0</v>
      </c>
      <c r="DH368" s="1767">
        <v>0</v>
      </c>
      <c r="DI368" s="1767">
        <v>-7.8041017159826587E-2</v>
      </c>
      <c r="DJ368" s="1767"/>
      <c r="DK368" s="1767">
        <v>0</v>
      </c>
      <c r="DL368" s="1767">
        <v>0</v>
      </c>
      <c r="DM368" s="1767">
        <v>0</v>
      </c>
      <c r="DN368" s="1767">
        <v>0</v>
      </c>
      <c r="DO368" s="1767">
        <v>-1.0425005459579376E-2</v>
      </c>
      <c r="DP368" s="1767">
        <v>-2.3125829623859354E-3</v>
      </c>
      <c r="DQ368" s="1767">
        <v>0</v>
      </c>
      <c r="DR368" s="1767">
        <v>0</v>
      </c>
      <c r="DS368" s="1767"/>
      <c r="DT368" s="1767"/>
      <c r="DU368" s="1767"/>
      <c r="DV368" s="1767">
        <v>13.508302689567788</v>
      </c>
      <c r="DW368" s="1767">
        <v>0</v>
      </c>
      <c r="DX368" s="1767">
        <v>0</v>
      </c>
      <c r="DY368" s="1767">
        <v>-2.5064000000000011</v>
      </c>
      <c r="DZ368" s="1767">
        <v>0</v>
      </c>
      <c r="EA368" s="1767">
        <v>0</v>
      </c>
      <c r="EB368" s="1767">
        <v>0</v>
      </c>
      <c r="EC368" s="1767">
        <v>-2.4003439038190422</v>
      </c>
      <c r="ED368" s="1767">
        <v>0</v>
      </c>
      <c r="EE368" s="1767">
        <v>0</v>
      </c>
      <c r="EF368" s="1767">
        <v>0</v>
      </c>
      <c r="EG368" s="1767">
        <v>0</v>
      </c>
      <c r="EH368" s="1767">
        <v>0</v>
      </c>
      <c r="EI368" s="1767">
        <v>0</v>
      </c>
      <c r="EJ368" s="1767">
        <v>0</v>
      </c>
      <c r="EK368" s="1767">
        <v>0</v>
      </c>
      <c r="EL368" s="1767">
        <v>0</v>
      </c>
      <c r="EM368" s="1767">
        <v>0</v>
      </c>
      <c r="EN368" s="1767">
        <v>0</v>
      </c>
      <c r="EO368" s="1767">
        <v>0</v>
      </c>
      <c r="EP368" s="1767">
        <v>0</v>
      </c>
      <c r="EQ368" s="1767">
        <v>0</v>
      </c>
      <c r="ER368" s="1767">
        <v>0</v>
      </c>
      <c r="ES368" s="1767">
        <v>0</v>
      </c>
      <c r="ET368" s="1767">
        <v>0</v>
      </c>
      <c r="EU368" s="1767">
        <v>0</v>
      </c>
      <c r="EV368" s="1767">
        <v>229</v>
      </c>
      <c r="EW368" s="1767">
        <v>0</v>
      </c>
      <c r="EX368" s="1767">
        <v>0</v>
      </c>
      <c r="EY368" s="1767">
        <v>0</v>
      </c>
      <c r="EZ368" s="1767"/>
      <c r="FA368" s="1767">
        <v>0</v>
      </c>
      <c r="FB368" s="1767"/>
      <c r="FC368" s="1767"/>
      <c r="FD368" s="1767"/>
      <c r="FE368" s="1767"/>
      <c r="FF368" s="1767">
        <v>0</v>
      </c>
      <c r="FG368" s="1767">
        <v>0</v>
      </c>
      <c r="FH368" s="1767">
        <v>0</v>
      </c>
      <c r="FI368" s="1767">
        <v>0</v>
      </c>
    </row>
    <row r="369" spans="1:165">
      <c r="A369" s="1767">
        <v>367</v>
      </c>
      <c r="B369" s="1767" t="s">
        <v>2355</v>
      </c>
      <c r="C369" s="1767" t="s">
        <v>2336</v>
      </c>
      <c r="D369" s="1767" t="s">
        <v>1822</v>
      </c>
      <c r="E369" s="1767" t="s">
        <v>916</v>
      </c>
      <c r="F369" s="1767" t="s">
        <v>1237</v>
      </c>
      <c r="G369" s="1767" t="s">
        <v>1237</v>
      </c>
      <c r="H369" s="1767" t="s">
        <v>1237</v>
      </c>
      <c r="I369" s="1767" t="s">
        <v>1237</v>
      </c>
      <c r="J369" s="1767" t="s">
        <v>2337</v>
      </c>
      <c r="K369" s="1768">
        <v>44774</v>
      </c>
      <c r="L369" s="1767">
        <v>0</v>
      </c>
      <c r="M369" s="1767">
        <v>0</v>
      </c>
      <c r="N369" s="1767">
        <v>78.19</v>
      </c>
      <c r="O369" s="1767">
        <v>78.19</v>
      </c>
      <c r="P369" s="1767">
        <v>78.19</v>
      </c>
      <c r="Q369" s="1767">
        <v>78.19</v>
      </c>
      <c r="R369" s="1767"/>
      <c r="S369" s="1767">
        <v>707.13</v>
      </c>
      <c r="T369" s="1767">
        <v>119.97</v>
      </c>
      <c r="U369" s="1767"/>
      <c r="V369" s="1767">
        <v>64670.948999999993</v>
      </c>
      <c r="W369" s="1767">
        <v>64670.948999999993</v>
      </c>
      <c r="X369" s="1767">
        <v>57002.855699999993</v>
      </c>
      <c r="Y369" s="1767">
        <v>0</v>
      </c>
      <c r="Z369" s="1767">
        <v>4761.3706342133673</v>
      </c>
      <c r="AA369" s="1767">
        <v>0</v>
      </c>
      <c r="AB369" s="1767">
        <v>0</v>
      </c>
      <c r="AC369" s="1767">
        <v>0</v>
      </c>
      <c r="AD369" s="1767">
        <v>8408.4908926159642</v>
      </c>
      <c r="AE369" s="1767">
        <v>39827.088956024789</v>
      </c>
      <c r="AF369" s="1767">
        <v>9380.7547508242315</v>
      </c>
      <c r="AG369" s="1767">
        <v>0</v>
      </c>
      <c r="AH369" s="1767">
        <v>0</v>
      </c>
      <c r="AI369" s="1767">
        <v>0</v>
      </c>
      <c r="AJ369" s="1767">
        <v>0</v>
      </c>
      <c r="AK369" s="1767">
        <v>0</v>
      </c>
      <c r="AL369" s="1767">
        <v>735.78556381349051</v>
      </c>
      <c r="AM369" s="1767"/>
      <c r="AN369" s="1767">
        <v>168.21004935686361</v>
      </c>
      <c r="AO369" s="1767">
        <v>0</v>
      </c>
      <c r="AP369" s="1767">
        <v>0</v>
      </c>
      <c r="AQ369" s="1767">
        <v>0</v>
      </c>
      <c r="AR369" s="1767">
        <v>0</v>
      </c>
      <c r="AS369" s="1767">
        <v>0</v>
      </c>
      <c r="AT369" s="1767">
        <v>0</v>
      </c>
      <c r="AU369" s="1767">
        <v>0</v>
      </c>
      <c r="AV369" s="1767">
        <v>0</v>
      </c>
      <c r="AW369" s="1767">
        <v>0</v>
      </c>
      <c r="AX369" s="1767">
        <v>0</v>
      </c>
      <c r="AY369" s="1767">
        <v>0</v>
      </c>
      <c r="AZ369" s="1767">
        <v>0</v>
      </c>
      <c r="BA369" s="1767"/>
      <c r="BB369" s="1767">
        <v>0</v>
      </c>
      <c r="BC369" s="1767">
        <v>0</v>
      </c>
      <c r="BD369" s="1767">
        <v>0</v>
      </c>
      <c r="BE369" s="1767">
        <v>0</v>
      </c>
      <c r="BF369" s="1767">
        <v>0</v>
      </c>
      <c r="BG369" s="1767">
        <v>1389.6250120678556</v>
      </c>
      <c r="BH369" s="1767">
        <v>0</v>
      </c>
      <c r="BI369" s="1767">
        <v>0</v>
      </c>
      <c r="BJ369" s="1767">
        <v>0</v>
      </c>
      <c r="BK369" s="1767">
        <v>10793.28</v>
      </c>
      <c r="BL369" s="1767">
        <v>265</v>
      </c>
      <c r="BM369" s="1767"/>
      <c r="BN369" s="1767"/>
      <c r="BO369" s="1767"/>
      <c r="BP369" s="1767"/>
      <c r="BQ369" s="1767"/>
      <c r="BR369" s="1767"/>
      <c r="BS369" s="1767"/>
      <c r="BT369" s="1767"/>
      <c r="BU369" s="1767"/>
      <c r="BV369" s="1767">
        <v>10770.379762892087</v>
      </c>
      <c r="BW369" s="1767"/>
      <c r="BX369" s="1767"/>
      <c r="BY369" s="1767"/>
      <c r="BZ369" s="1767"/>
      <c r="CA369" s="1767"/>
      <c r="CB369" s="1767"/>
      <c r="CC369" s="1767"/>
      <c r="CD369" s="1767"/>
      <c r="CE369" s="1767"/>
      <c r="CF369" s="1767"/>
      <c r="CG369" s="1767"/>
      <c r="CH369" s="1767"/>
      <c r="CI369" s="1767">
        <v>57002.855699999993</v>
      </c>
      <c r="CJ369" s="1767">
        <v>-7668.1233000000066</v>
      </c>
      <c r="CK369" s="1767"/>
      <c r="CL369" s="1767"/>
      <c r="CM369" s="1767"/>
      <c r="CN369" s="1767"/>
      <c r="CO369" s="1767">
        <v>-7668.0933000000041</v>
      </c>
      <c r="CP369" s="1767">
        <v>0</v>
      </c>
      <c r="CQ369" s="1767">
        <v>31</v>
      </c>
      <c r="CR369" s="1767">
        <v>-590.98533654247876</v>
      </c>
      <c r="CS369" s="1767">
        <v>0</v>
      </c>
      <c r="CT369" s="1767">
        <v>0</v>
      </c>
      <c r="CU369" s="1767">
        <v>0</v>
      </c>
      <c r="CV369" s="1767">
        <v>0</v>
      </c>
      <c r="CW369" s="1767">
        <v>0</v>
      </c>
      <c r="CX369" s="1767">
        <v>0</v>
      </c>
      <c r="CY369" s="1767">
        <v>0</v>
      </c>
      <c r="CZ369" s="1767">
        <v>-44.986938816302427</v>
      </c>
      <c r="DA369" s="1767">
        <v>0</v>
      </c>
      <c r="DB369" s="1767">
        <v>0</v>
      </c>
      <c r="DC369" s="1767">
        <v>0</v>
      </c>
      <c r="DD369" s="1767">
        <v>0</v>
      </c>
      <c r="DE369" s="1767">
        <v>0</v>
      </c>
      <c r="DF369" s="1767">
        <v>0</v>
      </c>
      <c r="DG369" s="1767">
        <v>0</v>
      </c>
      <c r="DH369" s="1767">
        <v>0</v>
      </c>
      <c r="DI369" s="1767">
        <v>-469.38670244052628</v>
      </c>
      <c r="DJ369" s="1767"/>
      <c r="DK369" s="1767">
        <v>0</v>
      </c>
      <c r="DL369" s="1767">
        <v>0</v>
      </c>
      <c r="DM369" s="1767">
        <v>0</v>
      </c>
      <c r="DN369" s="1767">
        <v>0</v>
      </c>
      <c r="DO369" s="1767">
        <v>-62.70239822188546</v>
      </c>
      <c r="DP369" s="1767">
        <v>-13.909297063765848</v>
      </c>
      <c r="DQ369" s="1767">
        <v>0</v>
      </c>
      <c r="DR369" s="1767">
        <v>0</v>
      </c>
      <c r="DS369" s="1767"/>
      <c r="DT369" s="1767"/>
      <c r="DU369" s="1767"/>
      <c r="DV369" s="1767">
        <v>39827.088956024789</v>
      </c>
      <c r="DW369" s="1767">
        <v>0</v>
      </c>
      <c r="DX369" s="1767">
        <v>0</v>
      </c>
      <c r="DY369" s="1767">
        <v>-7668.0933000000005</v>
      </c>
      <c r="DZ369" s="1767">
        <v>0</v>
      </c>
      <c r="EA369" s="1767">
        <v>0</v>
      </c>
      <c r="EB369" s="1767">
        <v>0</v>
      </c>
      <c r="EC369" s="1767">
        <v>-7077.0334644840914</v>
      </c>
      <c r="ED369" s="1767">
        <v>0</v>
      </c>
      <c r="EE369" s="1767">
        <v>0</v>
      </c>
      <c r="EF369" s="1767">
        <v>0</v>
      </c>
      <c r="EG369" s="1767">
        <v>0</v>
      </c>
      <c r="EH369" s="1767">
        <v>0</v>
      </c>
      <c r="EI369" s="1767">
        <v>0</v>
      </c>
      <c r="EJ369" s="1767">
        <v>0</v>
      </c>
      <c r="EK369" s="1767">
        <v>0</v>
      </c>
      <c r="EL369" s="1767">
        <v>0</v>
      </c>
      <c r="EM369" s="1767">
        <v>0</v>
      </c>
      <c r="EN369" s="1767">
        <v>0</v>
      </c>
      <c r="EO369" s="1767">
        <v>0</v>
      </c>
      <c r="EP369" s="1767">
        <v>0</v>
      </c>
      <c r="EQ369" s="1767">
        <v>0</v>
      </c>
      <c r="ER369" s="1767">
        <v>0</v>
      </c>
      <c r="ES369" s="1767">
        <v>0</v>
      </c>
      <c r="ET369" s="1767">
        <v>0</v>
      </c>
      <c r="EU369" s="1767">
        <v>0</v>
      </c>
      <c r="EV369" s="1767">
        <v>229</v>
      </c>
      <c r="EW369" s="1767">
        <v>0</v>
      </c>
      <c r="EX369" s="1767">
        <v>0</v>
      </c>
      <c r="EY369" s="1767">
        <v>0</v>
      </c>
      <c r="EZ369" s="1767"/>
      <c r="FA369" s="1767">
        <v>0</v>
      </c>
      <c r="FB369" s="1767"/>
      <c r="FC369" s="1767"/>
      <c r="FD369" s="1767"/>
      <c r="FE369" s="1767"/>
      <c r="FF369" s="1767">
        <v>0</v>
      </c>
      <c r="FG369" s="1767">
        <v>0</v>
      </c>
      <c r="FH369" s="1767">
        <v>0</v>
      </c>
      <c r="FI369" s="1767">
        <v>0</v>
      </c>
    </row>
    <row r="370" spans="1:165">
      <c r="A370" s="1767">
        <v>368</v>
      </c>
      <c r="B370" s="1767" t="s">
        <v>2355</v>
      </c>
      <c r="C370" s="1767" t="s">
        <v>2336</v>
      </c>
      <c r="D370" s="1767" t="s">
        <v>1822</v>
      </c>
      <c r="E370" s="1767" t="s">
        <v>916</v>
      </c>
      <c r="F370" s="1767" t="s">
        <v>1237</v>
      </c>
      <c r="G370" s="1767" t="s">
        <v>1237</v>
      </c>
      <c r="H370" s="1767" t="s">
        <v>1237</v>
      </c>
      <c r="I370" s="1767" t="s">
        <v>1237</v>
      </c>
      <c r="J370" s="1767" t="s">
        <v>2337</v>
      </c>
      <c r="K370" s="1768">
        <v>44774</v>
      </c>
      <c r="L370" s="1767">
        <v>0</v>
      </c>
      <c r="M370" s="1767">
        <v>0</v>
      </c>
      <c r="N370" s="1767">
        <v>12.518000000000001</v>
      </c>
      <c r="O370" s="1767">
        <v>12.518000000000001</v>
      </c>
      <c r="P370" s="1767">
        <v>12.518000000000001</v>
      </c>
      <c r="Q370" s="1767">
        <v>12.518000000000001</v>
      </c>
      <c r="R370" s="1767"/>
      <c r="S370" s="1767">
        <v>707.13</v>
      </c>
      <c r="T370" s="1767">
        <v>119.97</v>
      </c>
      <c r="U370" s="1767"/>
      <c r="V370" s="1767">
        <v>10353.6378</v>
      </c>
      <c r="W370" s="1767">
        <v>10353.6378</v>
      </c>
      <c r="X370" s="1767">
        <v>9125.9975400000003</v>
      </c>
      <c r="Y370" s="1767">
        <v>0</v>
      </c>
      <c r="Z370" s="1767">
        <v>762.28210255893248</v>
      </c>
      <c r="AA370" s="1767">
        <v>0</v>
      </c>
      <c r="AB370" s="1767">
        <v>0</v>
      </c>
      <c r="AC370" s="1767">
        <v>0</v>
      </c>
      <c r="AD370" s="1767">
        <v>1346.1758408206504</v>
      </c>
      <c r="AE370" s="1767">
        <v>6376.2053913738118</v>
      </c>
      <c r="AF370" s="1767">
        <v>1501.8325613354361</v>
      </c>
      <c r="AG370" s="1767">
        <v>0</v>
      </c>
      <c r="AH370" s="1767">
        <v>0</v>
      </c>
      <c r="AI370" s="1767">
        <v>0</v>
      </c>
      <c r="AJ370" s="1767">
        <v>0</v>
      </c>
      <c r="AK370" s="1767">
        <v>0</v>
      </c>
      <c r="AL370" s="1767">
        <v>117.7972079270658</v>
      </c>
      <c r="AM370" s="1767"/>
      <c r="AN370" s="1767">
        <v>26.929957767607352</v>
      </c>
      <c r="AO370" s="1767">
        <v>0</v>
      </c>
      <c r="AP370" s="1767">
        <v>0</v>
      </c>
      <c r="AQ370" s="1767">
        <v>0</v>
      </c>
      <c r="AR370" s="1767">
        <v>0</v>
      </c>
      <c r="AS370" s="1767">
        <v>0</v>
      </c>
      <c r="AT370" s="1767">
        <v>0</v>
      </c>
      <c r="AU370" s="1767">
        <v>0</v>
      </c>
      <c r="AV370" s="1767">
        <v>0</v>
      </c>
      <c r="AW370" s="1767">
        <v>0</v>
      </c>
      <c r="AX370" s="1767">
        <v>0</v>
      </c>
      <c r="AY370" s="1767">
        <v>0</v>
      </c>
      <c r="AZ370" s="1767">
        <v>0</v>
      </c>
      <c r="BA370" s="1767"/>
      <c r="BB370" s="1767">
        <v>0</v>
      </c>
      <c r="BC370" s="1767">
        <v>0</v>
      </c>
      <c r="BD370" s="1767">
        <v>0</v>
      </c>
      <c r="BE370" s="1767">
        <v>0</v>
      </c>
      <c r="BF370" s="1767">
        <v>0</v>
      </c>
      <c r="BG370" s="1767">
        <v>222.47507227350576</v>
      </c>
      <c r="BH370" s="1767">
        <v>0</v>
      </c>
      <c r="BI370" s="1767">
        <v>0</v>
      </c>
      <c r="BJ370" s="1767">
        <v>0</v>
      </c>
      <c r="BK370" s="1767">
        <v>2988.09</v>
      </c>
      <c r="BL370" s="1767">
        <v>8</v>
      </c>
      <c r="BM370" s="1767"/>
      <c r="BN370" s="1767"/>
      <c r="BO370" s="1767"/>
      <c r="BP370" s="1767"/>
      <c r="BQ370" s="1767"/>
      <c r="BR370" s="1767"/>
      <c r="BS370" s="1767"/>
      <c r="BT370" s="1767"/>
      <c r="BU370" s="1767"/>
      <c r="BV370" s="1767">
        <v>1724.3076336089418</v>
      </c>
      <c r="BW370" s="1767"/>
      <c r="BX370" s="1767"/>
      <c r="BY370" s="1767"/>
      <c r="BZ370" s="1767"/>
      <c r="CA370" s="1767"/>
      <c r="CB370" s="1767"/>
      <c r="CC370" s="1767"/>
      <c r="CD370" s="1767"/>
      <c r="CE370" s="1767"/>
      <c r="CF370" s="1767"/>
      <c r="CG370" s="1767"/>
      <c r="CH370" s="1767"/>
      <c r="CI370" s="1767">
        <v>9127.4555999999993</v>
      </c>
      <c r="CJ370" s="1767">
        <v>-1226.2122000000018</v>
      </c>
      <c r="CK370" s="1767"/>
      <c r="CL370" s="1767"/>
      <c r="CM370" s="1767"/>
      <c r="CN370" s="1767"/>
      <c r="CO370" s="1767">
        <v>-1227.6402600000006</v>
      </c>
      <c r="CP370" s="1767">
        <v>0</v>
      </c>
      <c r="CQ370" s="1767">
        <v>31</v>
      </c>
      <c r="CR370" s="1767">
        <v>-94.615097107542624</v>
      </c>
      <c r="CS370" s="1767">
        <v>0</v>
      </c>
      <c r="CT370" s="1767">
        <v>0</v>
      </c>
      <c r="CU370" s="1767">
        <v>0</v>
      </c>
      <c r="CV370" s="1767">
        <v>0</v>
      </c>
      <c r="CW370" s="1767">
        <v>0</v>
      </c>
      <c r="CX370" s="1767">
        <v>0</v>
      </c>
      <c r="CY370" s="1767">
        <v>0</v>
      </c>
      <c r="CZ370" s="1767">
        <v>-7.2022829019374512</v>
      </c>
      <c r="DA370" s="1767">
        <v>0</v>
      </c>
      <c r="DB370" s="1767">
        <v>0</v>
      </c>
      <c r="DC370" s="1767">
        <v>0</v>
      </c>
      <c r="DD370" s="1767">
        <v>0</v>
      </c>
      <c r="DE370" s="1767">
        <v>0</v>
      </c>
      <c r="DF370" s="1767">
        <v>0</v>
      </c>
      <c r="DG370" s="1767">
        <v>0</v>
      </c>
      <c r="DH370" s="1767">
        <v>0</v>
      </c>
      <c r="DI370" s="1767">
        <v>-75.147496369746818</v>
      </c>
      <c r="DJ370" s="1767"/>
      <c r="DK370" s="1767">
        <v>0</v>
      </c>
      <c r="DL370" s="1767">
        <v>0</v>
      </c>
      <c r="DM370" s="1767">
        <v>0</v>
      </c>
      <c r="DN370" s="1767">
        <v>0</v>
      </c>
      <c r="DO370" s="1767">
        <v>-10.038478334078036</v>
      </c>
      <c r="DP370" s="1767">
        <v>-2.226839501780546</v>
      </c>
      <c r="DQ370" s="1767">
        <v>0</v>
      </c>
      <c r="DR370" s="1767">
        <v>0</v>
      </c>
      <c r="DS370" s="1767"/>
      <c r="DT370" s="1767"/>
      <c r="DU370" s="1767"/>
      <c r="DV370" s="1767">
        <v>6376.2053913738118</v>
      </c>
      <c r="DW370" s="1767">
        <v>0</v>
      </c>
      <c r="DX370" s="1767">
        <v>0</v>
      </c>
      <c r="DY370" s="1767">
        <v>-1227.6402600000001</v>
      </c>
      <c r="DZ370" s="1767">
        <v>0</v>
      </c>
      <c r="EA370" s="1767">
        <v>0</v>
      </c>
      <c r="EB370" s="1767">
        <v>0</v>
      </c>
      <c r="EC370" s="1767">
        <v>-1133.0132358154733</v>
      </c>
      <c r="ED370" s="1767">
        <v>0</v>
      </c>
      <c r="EE370" s="1767">
        <v>0</v>
      </c>
      <c r="EF370" s="1767">
        <v>0</v>
      </c>
      <c r="EG370" s="1767">
        <v>0</v>
      </c>
      <c r="EH370" s="1767">
        <v>0</v>
      </c>
      <c r="EI370" s="1767">
        <v>0</v>
      </c>
      <c r="EJ370" s="1767">
        <v>0</v>
      </c>
      <c r="EK370" s="1767">
        <v>0</v>
      </c>
      <c r="EL370" s="1767">
        <v>0</v>
      </c>
      <c r="EM370" s="1767">
        <v>0</v>
      </c>
      <c r="EN370" s="1767">
        <v>0</v>
      </c>
      <c r="EO370" s="1767">
        <v>0</v>
      </c>
      <c r="EP370" s="1767">
        <v>0</v>
      </c>
      <c r="EQ370" s="1767">
        <v>0</v>
      </c>
      <c r="ER370" s="1767">
        <v>0</v>
      </c>
      <c r="ES370" s="1767">
        <v>0</v>
      </c>
      <c r="ET370" s="1767">
        <v>0</v>
      </c>
      <c r="EU370" s="1767">
        <v>0</v>
      </c>
      <c r="EV370" s="1767">
        <v>229</v>
      </c>
      <c r="EW370" s="1767">
        <v>0</v>
      </c>
      <c r="EX370" s="1767">
        <v>0</v>
      </c>
      <c r="EY370" s="1767">
        <v>0</v>
      </c>
      <c r="EZ370" s="1767"/>
      <c r="FA370" s="1767">
        <v>0</v>
      </c>
      <c r="FB370" s="1767"/>
      <c r="FC370" s="1767"/>
      <c r="FD370" s="1767"/>
      <c r="FE370" s="1767"/>
      <c r="FF370" s="1767">
        <v>0</v>
      </c>
      <c r="FG370" s="1767">
        <v>0</v>
      </c>
      <c r="FH370" s="1767">
        <v>0</v>
      </c>
      <c r="FI370" s="1767">
        <v>0</v>
      </c>
    </row>
    <row r="371" spans="1:165">
      <c r="A371" s="1767">
        <v>369</v>
      </c>
      <c r="B371" s="1767" t="s">
        <v>2355</v>
      </c>
      <c r="C371" s="1767" t="s">
        <v>2336</v>
      </c>
      <c r="D371" s="1767" t="s">
        <v>2347</v>
      </c>
      <c r="E371" s="1767" t="s">
        <v>892</v>
      </c>
      <c r="F371" s="1767" t="s">
        <v>1237</v>
      </c>
      <c r="G371" s="1767" t="s">
        <v>1237</v>
      </c>
      <c r="H371" s="1767" t="s">
        <v>1237</v>
      </c>
      <c r="I371" s="1767" t="s">
        <v>1237</v>
      </c>
      <c r="J371" s="1767" t="s">
        <v>2337</v>
      </c>
      <c r="K371" s="1768">
        <v>44774</v>
      </c>
      <c r="L371" s="1767">
        <v>0</v>
      </c>
      <c r="M371" s="1767">
        <v>0</v>
      </c>
      <c r="N371" s="1767">
        <v>241.06</v>
      </c>
      <c r="O371" s="1767">
        <v>241.06</v>
      </c>
      <c r="P371" s="1767">
        <v>241.06</v>
      </c>
      <c r="Q371" s="1767">
        <v>241.06</v>
      </c>
      <c r="R371" s="1767"/>
      <c r="S371" s="1767">
        <v>707.13</v>
      </c>
      <c r="T371" s="1767">
        <v>119.97</v>
      </c>
      <c r="U371" s="1767"/>
      <c r="V371" s="1767">
        <v>199380.726</v>
      </c>
      <c r="W371" s="1767">
        <v>199380.726</v>
      </c>
      <c r="X371" s="1767">
        <v>175739.9718</v>
      </c>
      <c r="Y371" s="1767">
        <v>0</v>
      </c>
      <c r="Z371" s="1767">
        <v>14679.319671102114</v>
      </c>
      <c r="AA371" s="1767">
        <v>0</v>
      </c>
      <c r="AB371" s="1767">
        <v>0</v>
      </c>
      <c r="AC371" s="1767">
        <v>0</v>
      </c>
      <c r="AD371" s="1767">
        <v>25923.402155953503</v>
      </c>
      <c r="AE371" s="1767">
        <v>122787.03240490262</v>
      </c>
      <c r="AF371" s="1767">
        <v>28920.894490774899</v>
      </c>
      <c r="AG371" s="1767">
        <v>0</v>
      </c>
      <c r="AH371" s="1767">
        <v>0</v>
      </c>
      <c r="AI371" s="1767">
        <v>0</v>
      </c>
      <c r="AJ371" s="1767">
        <v>0</v>
      </c>
      <c r="AK371" s="1767">
        <v>0</v>
      </c>
      <c r="AL371" s="1767">
        <v>2268.4290575889504</v>
      </c>
      <c r="AM371" s="1767"/>
      <c r="AN371" s="1767">
        <v>518.5920769659233</v>
      </c>
      <c r="AO371" s="1767">
        <v>0</v>
      </c>
      <c r="AP371" s="1767">
        <v>0</v>
      </c>
      <c r="AQ371" s="1767">
        <v>0</v>
      </c>
      <c r="AR371" s="1767">
        <v>0</v>
      </c>
      <c r="AS371" s="1767">
        <v>0</v>
      </c>
      <c r="AT371" s="1767">
        <v>0</v>
      </c>
      <c r="AU371" s="1767">
        <v>0</v>
      </c>
      <c r="AV371" s="1767">
        <v>0</v>
      </c>
      <c r="AW371" s="1767">
        <v>0</v>
      </c>
      <c r="AX371" s="1767">
        <v>0</v>
      </c>
      <c r="AY371" s="1767">
        <v>0</v>
      </c>
      <c r="AZ371" s="1767">
        <v>0</v>
      </c>
      <c r="BA371" s="1767"/>
      <c r="BB371" s="1767">
        <v>0</v>
      </c>
      <c r="BC371" s="1767">
        <v>0</v>
      </c>
      <c r="BD371" s="1767">
        <v>0</v>
      </c>
      <c r="BE371" s="1767">
        <v>0</v>
      </c>
      <c r="BF371" s="1767">
        <v>0</v>
      </c>
      <c r="BG371" s="1767">
        <v>4284.2179998603051</v>
      </c>
      <c r="BH371" s="1767">
        <v>0</v>
      </c>
      <c r="BI371" s="1767">
        <v>0</v>
      </c>
      <c r="BJ371" s="1767">
        <v>0</v>
      </c>
      <c r="BK371" s="1767">
        <v>24873.279999999999</v>
      </c>
      <c r="BL371" s="1767">
        <v>698</v>
      </c>
      <c r="BM371" s="1767"/>
      <c r="BN371" s="1767"/>
      <c r="BO371" s="1767"/>
      <c r="BP371" s="1767"/>
      <c r="BQ371" s="1767"/>
      <c r="BR371" s="1767">
        <v>21087.92879999998</v>
      </c>
      <c r="BS371" s="1767"/>
      <c r="BT371" s="1767"/>
      <c r="BU371" s="1767"/>
      <c r="BV371" s="1767">
        <v>33205.112490635205</v>
      </c>
      <c r="BW371" s="1767"/>
      <c r="BX371" s="1767"/>
      <c r="BY371" s="1767"/>
      <c r="BZ371" s="1767"/>
      <c r="CA371" s="1767"/>
      <c r="CB371" s="1767"/>
      <c r="CC371" s="1767"/>
      <c r="CD371" s="1767"/>
      <c r="CE371" s="1767"/>
      <c r="CF371" s="1767"/>
      <c r="CG371" s="1767"/>
      <c r="CH371" s="1767"/>
      <c r="CI371" s="1767">
        <v>154652.04300000001</v>
      </c>
      <c r="CJ371" s="1767">
        <v>-20805.918600000034</v>
      </c>
      <c r="CK371" s="1767"/>
      <c r="CL371" s="1767"/>
      <c r="CM371" s="1767"/>
      <c r="CN371" s="1767"/>
      <c r="CO371" s="1767">
        <v>-23640.754200000014</v>
      </c>
      <c r="CP371" s="1767">
        <v>0</v>
      </c>
      <c r="CQ371" s="1767">
        <v>31</v>
      </c>
      <c r="CR371" s="1767">
        <v>-1822.0095309749449</v>
      </c>
      <c r="CS371" s="1767">
        <v>0</v>
      </c>
      <c r="CT371" s="1767">
        <v>0</v>
      </c>
      <c r="CU371" s="1767">
        <v>0</v>
      </c>
      <c r="CV371" s="1767">
        <v>0</v>
      </c>
      <c r="CW371" s="1767">
        <v>0</v>
      </c>
      <c r="CX371" s="1767">
        <v>0</v>
      </c>
      <c r="CY371" s="1767">
        <v>0</v>
      </c>
      <c r="CZ371" s="1767">
        <v>-138.69486470210904</v>
      </c>
      <c r="DA371" s="1767">
        <v>0</v>
      </c>
      <c r="DB371" s="1767">
        <v>0</v>
      </c>
      <c r="DC371" s="1767">
        <v>0</v>
      </c>
      <c r="DD371" s="1767">
        <v>0</v>
      </c>
      <c r="DE371" s="1767">
        <v>0</v>
      </c>
      <c r="DF371" s="1767">
        <v>0</v>
      </c>
      <c r="DG371" s="1767">
        <v>0</v>
      </c>
      <c r="DH371" s="1767">
        <v>0</v>
      </c>
      <c r="DI371" s="1767">
        <v>-1447.1205843498301</v>
      </c>
      <c r="DJ371" s="1767"/>
      <c r="DK371" s="1767">
        <v>0</v>
      </c>
      <c r="DL371" s="1767">
        <v>0</v>
      </c>
      <c r="DM371" s="1767">
        <v>0</v>
      </c>
      <c r="DN371" s="1767">
        <v>0</v>
      </c>
      <c r="DO371" s="1767">
        <v>-193.31167816047719</v>
      </c>
      <c r="DP371" s="1767">
        <v>-42.882403762519459</v>
      </c>
      <c r="DQ371" s="1767">
        <v>0</v>
      </c>
      <c r="DR371" s="1767">
        <v>0</v>
      </c>
      <c r="DS371" s="1767"/>
      <c r="DT371" s="1767"/>
      <c r="DU371" s="1767"/>
      <c r="DV371" s="1767">
        <v>122787.03240490262</v>
      </c>
      <c r="DW371" s="1767">
        <v>0</v>
      </c>
      <c r="DX371" s="1767">
        <v>0</v>
      </c>
      <c r="DY371" s="1767">
        <v>-23640.754199999996</v>
      </c>
      <c r="DZ371" s="1767">
        <v>0</v>
      </c>
      <c r="EA371" s="1767">
        <v>0</v>
      </c>
      <c r="EB371" s="1767">
        <v>0</v>
      </c>
      <c r="EC371" s="1767">
        <v>-21818.514988470852</v>
      </c>
      <c r="ED371" s="1767">
        <v>0</v>
      </c>
      <c r="EE371" s="1767">
        <v>0</v>
      </c>
      <c r="EF371" s="1767">
        <v>0</v>
      </c>
      <c r="EG371" s="1767">
        <v>0</v>
      </c>
      <c r="EH371" s="1767">
        <v>0</v>
      </c>
      <c r="EI371" s="1767">
        <v>0</v>
      </c>
      <c r="EJ371" s="1767">
        <v>0</v>
      </c>
      <c r="EK371" s="1767">
        <v>0</v>
      </c>
      <c r="EL371" s="1767">
        <v>0</v>
      </c>
      <c r="EM371" s="1767">
        <v>0</v>
      </c>
      <c r="EN371" s="1767">
        <v>0</v>
      </c>
      <c r="EO371" s="1767">
        <v>0</v>
      </c>
      <c r="EP371" s="1767">
        <v>0</v>
      </c>
      <c r="EQ371" s="1767">
        <v>0</v>
      </c>
      <c r="ER371" s="1767">
        <v>0</v>
      </c>
      <c r="ES371" s="1767">
        <v>0</v>
      </c>
      <c r="ET371" s="1767">
        <v>0</v>
      </c>
      <c r="EU371" s="1767">
        <v>0</v>
      </c>
      <c r="EV371" s="1767">
        <v>229</v>
      </c>
      <c r="EW371" s="1767">
        <v>0</v>
      </c>
      <c r="EX371" s="1767">
        <v>0</v>
      </c>
      <c r="EY371" s="1767">
        <v>0</v>
      </c>
      <c r="EZ371" s="1767"/>
      <c r="FA371" s="1767">
        <v>0</v>
      </c>
      <c r="FB371" s="1767"/>
      <c r="FC371" s="1767"/>
      <c r="FD371" s="1767"/>
      <c r="FE371" s="1767"/>
      <c r="FF371" s="1767">
        <v>0</v>
      </c>
      <c r="FG371" s="1767">
        <v>0</v>
      </c>
      <c r="FH371" s="1767">
        <v>0</v>
      </c>
      <c r="FI371" s="1767">
        <v>0</v>
      </c>
    </row>
    <row r="372" spans="1:165">
      <c r="A372" s="1767">
        <v>370</v>
      </c>
      <c r="B372" s="1767" t="s">
        <v>2355</v>
      </c>
      <c r="C372" s="1767" t="s">
        <v>2336</v>
      </c>
      <c r="D372" s="1767" t="s">
        <v>2347</v>
      </c>
      <c r="E372" s="1767" t="s">
        <v>892</v>
      </c>
      <c r="F372" s="1767" t="s">
        <v>1237</v>
      </c>
      <c r="G372" s="1767" t="s">
        <v>1237</v>
      </c>
      <c r="H372" s="1767" t="s">
        <v>1237</v>
      </c>
      <c r="I372" s="1767" t="s">
        <v>1237</v>
      </c>
      <c r="J372" s="1767" t="s">
        <v>2337</v>
      </c>
      <c r="K372" s="1768">
        <v>44774</v>
      </c>
      <c r="L372" s="1767">
        <v>0</v>
      </c>
      <c r="M372" s="1767">
        <v>0</v>
      </c>
      <c r="N372" s="1767">
        <v>28.602</v>
      </c>
      <c r="O372" s="1767">
        <v>28.602</v>
      </c>
      <c r="P372" s="1767">
        <v>28.602</v>
      </c>
      <c r="Q372" s="1767">
        <v>28.602</v>
      </c>
      <c r="R372" s="1767"/>
      <c r="S372" s="1767">
        <v>707.13</v>
      </c>
      <c r="T372" s="1767">
        <v>119.97</v>
      </c>
      <c r="U372" s="1767"/>
      <c r="V372" s="1767">
        <v>23656.714199999999</v>
      </c>
      <c r="W372" s="1767">
        <v>23656.714199999999</v>
      </c>
      <c r="X372" s="1767">
        <v>20851.716059999999</v>
      </c>
      <c r="Y372" s="1767">
        <v>0</v>
      </c>
      <c r="Z372" s="1767">
        <v>1741.7153456934484</v>
      </c>
      <c r="AA372" s="1767">
        <v>0</v>
      </c>
      <c r="AB372" s="1767">
        <v>0</v>
      </c>
      <c r="AC372" s="1767">
        <v>0</v>
      </c>
      <c r="AD372" s="1767">
        <v>3075.8365073615787</v>
      </c>
      <c r="AE372" s="1767">
        <v>14568.799057682838</v>
      </c>
      <c r="AF372" s="1767">
        <v>3431.4918452880765</v>
      </c>
      <c r="AG372" s="1767">
        <v>0</v>
      </c>
      <c r="AH372" s="1767">
        <v>0</v>
      </c>
      <c r="AI372" s="1767">
        <v>0</v>
      </c>
      <c r="AJ372" s="1767">
        <v>0</v>
      </c>
      <c r="AK372" s="1767">
        <v>0</v>
      </c>
      <c r="AL372" s="1767">
        <v>269.15128144511391</v>
      </c>
      <c r="AM372" s="1767"/>
      <c r="AN372" s="1767">
        <v>61.531446882018329</v>
      </c>
      <c r="AO372" s="1767">
        <v>0</v>
      </c>
      <c r="AP372" s="1767">
        <v>0</v>
      </c>
      <c r="AQ372" s="1767">
        <v>0</v>
      </c>
      <c r="AR372" s="1767">
        <v>0</v>
      </c>
      <c r="AS372" s="1767">
        <v>0</v>
      </c>
      <c r="AT372" s="1767">
        <v>0</v>
      </c>
      <c r="AU372" s="1767">
        <v>0</v>
      </c>
      <c r="AV372" s="1767">
        <v>0</v>
      </c>
      <c r="AW372" s="1767">
        <v>0</v>
      </c>
      <c r="AX372" s="1767">
        <v>0</v>
      </c>
      <c r="AY372" s="1767">
        <v>0</v>
      </c>
      <c r="AZ372" s="1767">
        <v>0</v>
      </c>
      <c r="BA372" s="1767"/>
      <c r="BB372" s="1767">
        <v>0</v>
      </c>
      <c r="BC372" s="1767">
        <v>0</v>
      </c>
      <c r="BD372" s="1767">
        <v>0</v>
      </c>
      <c r="BE372" s="1767">
        <v>0</v>
      </c>
      <c r="BF372" s="1767">
        <v>0</v>
      </c>
      <c r="BG372" s="1767">
        <v>508.32657111094517</v>
      </c>
      <c r="BH372" s="1767">
        <v>0</v>
      </c>
      <c r="BI372" s="1767">
        <v>0</v>
      </c>
      <c r="BJ372" s="1767">
        <v>0</v>
      </c>
      <c r="BK372" s="1767">
        <v>5447.69</v>
      </c>
      <c r="BL372" s="1767">
        <v>18</v>
      </c>
      <c r="BM372" s="1767"/>
      <c r="BN372" s="1767"/>
      <c r="BO372" s="1767"/>
      <c r="BP372" s="1767"/>
      <c r="BQ372" s="1767"/>
      <c r="BR372" s="1767">
        <v>2502.1029599999979</v>
      </c>
      <c r="BS372" s="1767"/>
      <c r="BT372" s="1767"/>
      <c r="BU372" s="1767"/>
      <c r="BV372" s="1767">
        <v>3939.8184163990218</v>
      </c>
      <c r="BW372" s="1767"/>
      <c r="BX372" s="1767"/>
      <c r="BY372" s="1767"/>
      <c r="BZ372" s="1767"/>
      <c r="CA372" s="1767"/>
      <c r="CB372" s="1767"/>
      <c r="CC372" s="1767"/>
      <c r="CD372" s="1767"/>
      <c r="CE372" s="1767"/>
      <c r="CF372" s="1767"/>
      <c r="CG372" s="1767"/>
      <c r="CH372" s="1767"/>
      <c r="CI372" s="1767">
        <v>18348.330000000002</v>
      </c>
      <c r="CJ372" s="1767">
        <v>-2469.95171999999</v>
      </c>
      <c r="CK372" s="1767"/>
      <c r="CL372" s="1767"/>
      <c r="CM372" s="1767"/>
      <c r="CN372" s="1767"/>
      <c r="CO372" s="1767">
        <v>-2804.9981400000015</v>
      </c>
      <c r="CP372" s="1767">
        <v>0</v>
      </c>
      <c r="CQ372" s="1767">
        <v>31</v>
      </c>
      <c r="CR372" s="1767">
        <v>-216.18317682296947</v>
      </c>
      <c r="CS372" s="1767">
        <v>0</v>
      </c>
      <c r="CT372" s="1767">
        <v>0</v>
      </c>
      <c r="CU372" s="1767">
        <v>0</v>
      </c>
      <c r="CV372" s="1767">
        <v>0</v>
      </c>
      <c r="CW372" s="1767">
        <v>0</v>
      </c>
      <c r="CX372" s="1767">
        <v>0</v>
      </c>
      <c r="CY372" s="1767">
        <v>0</v>
      </c>
      <c r="CZ372" s="1767">
        <v>-16.456278603708142</v>
      </c>
      <c r="DA372" s="1767">
        <v>0</v>
      </c>
      <c r="DB372" s="1767">
        <v>0</v>
      </c>
      <c r="DC372" s="1767">
        <v>0</v>
      </c>
      <c r="DD372" s="1767">
        <v>0</v>
      </c>
      <c r="DE372" s="1767">
        <v>0</v>
      </c>
      <c r="DF372" s="1767">
        <v>0</v>
      </c>
      <c r="DG372" s="1767">
        <v>0</v>
      </c>
      <c r="DH372" s="1767">
        <v>0</v>
      </c>
      <c r="DI372" s="1767">
        <v>-171.70224406195075</v>
      </c>
      <c r="DJ372" s="1767"/>
      <c r="DK372" s="1767">
        <v>0</v>
      </c>
      <c r="DL372" s="1767">
        <v>0</v>
      </c>
      <c r="DM372" s="1767">
        <v>0</v>
      </c>
      <c r="DN372" s="1767">
        <v>0</v>
      </c>
      <c r="DO372" s="1767">
        <v>-22.936615858068393</v>
      </c>
      <c r="DP372" s="1767">
        <v>-5.0880382992432658</v>
      </c>
      <c r="DQ372" s="1767">
        <v>0</v>
      </c>
      <c r="DR372" s="1767">
        <v>0</v>
      </c>
      <c r="DS372" s="1767"/>
      <c r="DT372" s="1767"/>
      <c r="DU372" s="1767"/>
      <c r="DV372" s="1767">
        <v>14568.799057682838</v>
      </c>
      <c r="DW372" s="1767">
        <v>0</v>
      </c>
      <c r="DX372" s="1767">
        <v>0</v>
      </c>
      <c r="DY372" s="1767">
        <v>-2804.9981399999997</v>
      </c>
      <c r="DZ372" s="1767">
        <v>0</v>
      </c>
      <c r="EA372" s="1767">
        <v>0</v>
      </c>
      <c r="EB372" s="1767">
        <v>0</v>
      </c>
      <c r="EC372" s="1767">
        <v>-2588.7877113591767</v>
      </c>
      <c r="ED372" s="1767">
        <v>0</v>
      </c>
      <c r="EE372" s="1767">
        <v>0</v>
      </c>
      <c r="EF372" s="1767">
        <v>0</v>
      </c>
      <c r="EG372" s="1767">
        <v>0</v>
      </c>
      <c r="EH372" s="1767">
        <v>0</v>
      </c>
      <c r="EI372" s="1767">
        <v>0</v>
      </c>
      <c r="EJ372" s="1767">
        <v>0</v>
      </c>
      <c r="EK372" s="1767">
        <v>0</v>
      </c>
      <c r="EL372" s="1767">
        <v>0</v>
      </c>
      <c r="EM372" s="1767">
        <v>0</v>
      </c>
      <c r="EN372" s="1767">
        <v>0</v>
      </c>
      <c r="EO372" s="1767">
        <v>0</v>
      </c>
      <c r="EP372" s="1767">
        <v>0</v>
      </c>
      <c r="EQ372" s="1767">
        <v>0</v>
      </c>
      <c r="ER372" s="1767">
        <v>0</v>
      </c>
      <c r="ES372" s="1767">
        <v>0</v>
      </c>
      <c r="ET372" s="1767">
        <v>0</v>
      </c>
      <c r="EU372" s="1767">
        <v>0</v>
      </c>
      <c r="EV372" s="1767">
        <v>229</v>
      </c>
      <c r="EW372" s="1767">
        <v>0</v>
      </c>
      <c r="EX372" s="1767">
        <v>0</v>
      </c>
      <c r="EY372" s="1767">
        <v>0</v>
      </c>
      <c r="EZ372" s="1767"/>
      <c r="FA372" s="1767">
        <v>0</v>
      </c>
      <c r="FB372" s="1767"/>
      <c r="FC372" s="1767"/>
      <c r="FD372" s="1767"/>
      <c r="FE372" s="1767"/>
      <c r="FF372" s="1767">
        <v>0</v>
      </c>
      <c r="FG372" s="1767">
        <v>0</v>
      </c>
      <c r="FH372" s="1767">
        <v>0</v>
      </c>
      <c r="FI372" s="1767">
        <v>0</v>
      </c>
    </row>
    <row r="373" spans="1:165">
      <c r="A373" s="1767">
        <v>371</v>
      </c>
      <c r="B373" s="1767" t="s">
        <v>2355</v>
      </c>
      <c r="C373" s="1767" t="s">
        <v>2336</v>
      </c>
      <c r="D373" s="1767" t="s">
        <v>1822</v>
      </c>
      <c r="E373" s="1767" t="s">
        <v>2348</v>
      </c>
      <c r="F373" s="1767" t="s">
        <v>1237</v>
      </c>
      <c r="G373" s="1767" t="s">
        <v>1237</v>
      </c>
      <c r="H373" s="1767" t="s">
        <v>1237</v>
      </c>
      <c r="I373" s="1767" t="s">
        <v>1237</v>
      </c>
      <c r="J373" s="1767" t="s">
        <v>2337</v>
      </c>
      <c r="K373" s="1768">
        <v>44774</v>
      </c>
      <c r="L373" s="1767">
        <v>0</v>
      </c>
      <c r="M373" s="1767">
        <v>0</v>
      </c>
      <c r="N373" s="1767">
        <v>27.748000000000001</v>
      </c>
      <c r="O373" s="1767">
        <v>27.748000000000001</v>
      </c>
      <c r="P373" s="1767">
        <v>27.748000000000001</v>
      </c>
      <c r="Q373" s="1767">
        <v>27.748000000000001</v>
      </c>
      <c r="R373" s="1767"/>
      <c r="S373" s="1767">
        <v>707.13</v>
      </c>
      <c r="T373" s="1767">
        <v>119.97</v>
      </c>
      <c r="U373" s="1767"/>
      <c r="V373" s="1767">
        <v>22950.370800000001</v>
      </c>
      <c r="W373" s="1767">
        <v>22950.370800000001</v>
      </c>
      <c r="X373" s="1767">
        <v>20229.12444</v>
      </c>
      <c r="Y373" s="1767">
        <v>0</v>
      </c>
      <c r="Z373" s="1767">
        <v>1689.7111185337321</v>
      </c>
      <c r="AA373" s="1767">
        <v>0</v>
      </c>
      <c r="AB373" s="1767">
        <v>0</v>
      </c>
      <c r="AC373" s="1767">
        <v>0</v>
      </c>
      <c r="AD373" s="1767">
        <v>2983.998021336588</v>
      </c>
      <c r="AE373" s="1767">
        <v>14133.803099523928</v>
      </c>
      <c r="AF373" s="1767">
        <v>3329.0341837302826</v>
      </c>
      <c r="AG373" s="1767">
        <v>0</v>
      </c>
      <c r="AH373" s="1767">
        <v>0</v>
      </c>
      <c r="AI373" s="1767">
        <v>0</v>
      </c>
      <c r="AJ373" s="1767">
        <v>0</v>
      </c>
      <c r="AK373" s="1767">
        <v>0</v>
      </c>
      <c r="AL373" s="1767">
        <v>261.11494851895048</v>
      </c>
      <c r="AM373" s="1767"/>
      <c r="AN373" s="1767">
        <v>59.69423774848768</v>
      </c>
      <c r="AO373" s="1767">
        <v>0</v>
      </c>
      <c r="AP373" s="1767">
        <v>0</v>
      </c>
      <c r="AQ373" s="1767">
        <v>0</v>
      </c>
      <c r="AR373" s="1767">
        <v>0</v>
      </c>
      <c r="AS373" s="1767">
        <v>0</v>
      </c>
      <c r="AT373" s="1767">
        <v>0</v>
      </c>
      <c r="AU373" s="1767">
        <v>0</v>
      </c>
      <c r="AV373" s="1767">
        <v>0</v>
      </c>
      <c r="AW373" s="1767">
        <v>0</v>
      </c>
      <c r="AX373" s="1767">
        <v>0</v>
      </c>
      <c r="AY373" s="1767">
        <v>0</v>
      </c>
      <c r="AZ373" s="1767">
        <v>0</v>
      </c>
      <c r="BA373" s="1767"/>
      <c r="BB373" s="1767">
        <v>0</v>
      </c>
      <c r="BC373" s="1767">
        <v>0</v>
      </c>
      <c r="BD373" s="1767">
        <v>0</v>
      </c>
      <c r="BE373" s="1767">
        <v>0</v>
      </c>
      <c r="BF373" s="1767">
        <v>0</v>
      </c>
      <c r="BG373" s="1767">
        <v>493.14892997645296</v>
      </c>
      <c r="BH373" s="1767">
        <v>0</v>
      </c>
      <c r="BI373" s="1767">
        <v>0</v>
      </c>
      <c r="BJ373" s="1767">
        <v>0</v>
      </c>
      <c r="BK373" s="1767">
        <v>3935.3</v>
      </c>
      <c r="BL373" s="1767">
        <v>83</v>
      </c>
      <c r="BM373" s="1767"/>
      <c r="BN373" s="1767"/>
      <c r="BO373" s="1767"/>
      <c r="BP373" s="1767"/>
      <c r="BQ373" s="1767"/>
      <c r="BR373" s="1767"/>
      <c r="BS373" s="1767"/>
      <c r="BT373" s="1767"/>
      <c r="BU373" s="1767"/>
      <c r="BV373" s="1767">
        <v>3822.1831137067356</v>
      </c>
      <c r="BW373" s="1767"/>
      <c r="BX373" s="1767"/>
      <c r="BY373" s="1767"/>
      <c r="BZ373" s="1767"/>
      <c r="CA373" s="1767"/>
      <c r="CB373" s="1767"/>
      <c r="CC373" s="1767"/>
      <c r="CD373" s="1767"/>
      <c r="CE373" s="1767"/>
      <c r="CF373" s="1767"/>
      <c r="CG373" s="1767"/>
      <c r="CH373" s="1767"/>
      <c r="CI373" s="1767">
        <v>20230.582499999997</v>
      </c>
      <c r="CJ373" s="1767">
        <v>-2719.818299999999</v>
      </c>
      <c r="CK373" s="1767"/>
      <c r="CL373" s="1767"/>
      <c r="CM373" s="1767"/>
      <c r="CN373" s="1767"/>
      <c r="CO373" s="1767">
        <v>-2721.2463600000015</v>
      </c>
      <c r="CP373" s="1767">
        <v>0</v>
      </c>
      <c r="CQ373" s="1767">
        <v>31</v>
      </c>
      <c r="CR373" s="1767">
        <v>-209.72836831283894</v>
      </c>
      <c r="CS373" s="1767">
        <v>0</v>
      </c>
      <c r="CT373" s="1767">
        <v>0</v>
      </c>
      <c r="CU373" s="1767">
        <v>0</v>
      </c>
      <c r="CV373" s="1767">
        <v>0</v>
      </c>
      <c r="CW373" s="1767">
        <v>0</v>
      </c>
      <c r="CX373" s="1767">
        <v>0</v>
      </c>
      <c r="CY373" s="1767">
        <v>0</v>
      </c>
      <c r="CZ373" s="1767">
        <v>-15.964926183332864</v>
      </c>
      <c r="DA373" s="1767">
        <v>0</v>
      </c>
      <c r="DB373" s="1767">
        <v>0</v>
      </c>
      <c r="DC373" s="1767">
        <v>0</v>
      </c>
      <c r="DD373" s="1767">
        <v>0</v>
      </c>
      <c r="DE373" s="1767">
        <v>0</v>
      </c>
      <c r="DF373" s="1767">
        <v>0</v>
      </c>
      <c r="DG373" s="1767">
        <v>0</v>
      </c>
      <c r="DH373" s="1767">
        <v>0</v>
      </c>
      <c r="DI373" s="1767">
        <v>-166.57554955006663</v>
      </c>
      <c r="DJ373" s="1767"/>
      <c r="DK373" s="1767">
        <v>0</v>
      </c>
      <c r="DL373" s="1767">
        <v>0</v>
      </c>
      <c r="DM373" s="1767">
        <v>0</v>
      </c>
      <c r="DN373" s="1767">
        <v>0</v>
      </c>
      <c r="DO373" s="1767">
        <v>-22.251773191723743</v>
      </c>
      <c r="DP373" s="1767">
        <v>-4.9361193877142213</v>
      </c>
      <c r="DQ373" s="1767">
        <v>0</v>
      </c>
      <c r="DR373" s="1767">
        <v>0</v>
      </c>
      <c r="DS373" s="1767"/>
      <c r="DT373" s="1767"/>
      <c r="DU373" s="1767"/>
      <c r="DV373" s="1767">
        <v>14133.803099523928</v>
      </c>
      <c r="DW373" s="1767">
        <v>0</v>
      </c>
      <c r="DX373" s="1767">
        <v>0</v>
      </c>
      <c r="DY373" s="1767">
        <v>-2721.246360000001</v>
      </c>
      <c r="DZ373" s="1767">
        <v>0</v>
      </c>
      <c r="EA373" s="1767">
        <v>0</v>
      </c>
      <c r="EB373" s="1767">
        <v>0</v>
      </c>
      <c r="EC373" s="1767">
        <v>-2511.491553555501</v>
      </c>
      <c r="ED373" s="1767">
        <v>0</v>
      </c>
      <c r="EE373" s="1767">
        <v>0</v>
      </c>
      <c r="EF373" s="1767">
        <v>0</v>
      </c>
      <c r="EG373" s="1767">
        <v>0</v>
      </c>
      <c r="EH373" s="1767">
        <v>0</v>
      </c>
      <c r="EI373" s="1767">
        <v>0</v>
      </c>
      <c r="EJ373" s="1767">
        <v>0</v>
      </c>
      <c r="EK373" s="1767">
        <v>0</v>
      </c>
      <c r="EL373" s="1767">
        <v>0</v>
      </c>
      <c r="EM373" s="1767">
        <v>0</v>
      </c>
      <c r="EN373" s="1767">
        <v>0</v>
      </c>
      <c r="EO373" s="1767">
        <v>0</v>
      </c>
      <c r="EP373" s="1767">
        <v>0</v>
      </c>
      <c r="EQ373" s="1767">
        <v>0</v>
      </c>
      <c r="ER373" s="1767">
        <v>0</v>
      </c>
      <c r="ES373" s="1767">
        <v>0</v>
      </c>
      <c r="ET373" s="1767">
        <v>0</v>
      </c>
      <c r="EU373" s="1767">
        <v>0</v>
      </c>
      <c r="EV373" s="1767">
        <v>229</v>
      </c>
      <c r="EW373" s="1767">
        <v>0</v>
      </c>
      <c r="EX373" s="1767">
        <v>0</v>
      </c>
      <c r="EY373" s="1767">
        <v>0</v>
      </c>
      <c r="EZ373" s="1767"/>
      <c r="FA373" s="1767">
        <v>0</v>
      </c>
      <c r="FB373" s="1767"/>
      <c r="FC373" s="1767"/>
      <c r="FD373" s="1767"/>
      <c r="FE373" s="1767"/>
      <c r="FF373" s="1767">
        <v>0</v>
      </c>
      <c r="FG373" s="1767">
        <v>0</v>
      </c>
      <c r="FH373" s="1767">
        <v>0</v>
      </c>
      <c r="FI373" s="1767">
        <v>0</v>
      </c>
    </row>
    <row r="374" spans="1:165">
      <c r="A374" s="1767">
        <v>372</v>
      </c>
      <c r="B374" s="1767" t="s">
        <v>2355</v>
      </c>
      <c r="C374" s="1767" t="s">
        <v>2336</v>
      </c>
      <c r="D374" s="1767" t="s">
        <v>2349</v>
      </c>
      <c r="E374" s="1767" t="s">
        <v>2350</v>
      </c>
      <c r="F374" s="1767" t="s">
        <v>2351</v>
      </c>
      <c r="G374" s="1767" t="s">
        <v>1237</v>
      </c>
      <c r="H374" s="1767" t="s">
        <v>1237</v>
      </c>
      <c r="I374" s="1767" t="s">
        <v>1237</v>
      </c>
      <c r="J374" s="1767" t="s">
        <v>2337</v>
      </c>
      <c r="K374" s="1768">
        <v>44774</v>
      </c>
      <c r="L374" s="1767">
        <v>0</v>
      </c>
      <c r="M374" s="1767">
        <v>0</v>
      </c>
      <c r="N374" s="1767">
        <v>84.697999999999993</v>
      </c>
      <c r="O374" s="1767">
        <v>84.697999999999993</v>
      </c>
      <c r="P374" s="1767">
        <v>84.697999999999993</v>
      </c>
      <c r="Q374" s="1767">
        <v>84.697999999999993</v>
      </c>
      <c r="R374" s="1767"/>
      <c r="S374" s="1767">
        <v>388.92</v>
      </c>
      <c r="T374" s="1767">
        <v>65.989999999999995</v>
      </c>
      <c r="U374" s="1767"/>
      <c r="V374" s="1767">
        <v>38529.967179999992</v>
      </c>
      <c r="W374" s="1767">
        <v>38529.967179999992</v>
      </c>
      <c r="X374" s="1767">
        <v>33961.357059999995</v>
      </c>
      <c r="Y374" s="1767">
        <v>0</v>
      </c>
      <c r="Z374" s="1767">
        <v>2836.7209807792856</v>
      </c>
      <c r="AA374" s="1767">
        <v>0</v>
      </c>
      <c r="AB374" s="1767">
        <v>0</v>
      </c>
      <c r="AC374" s="1767">
        <v>0</v>
      </c>
      <c r="AD374" s="1767">
        <v>5009.5958420838015</v>
      </c>
      <c r="AE374" s="1767">
        <v>23728.112664260949</v>
      </c>
      <c r="AF374" s="1767">
        <v>5588.8494850610123</v>
      </c>
      <c r="AG374" s="1767">
        <v>0</v>
      </c>
      <c r="AH374" s="1767">
        <v>0</v>
      </c>
      <c r="AI374" s="1767">
        <v>0</v>
      </c>
      <c r="AJ374" s="1767">
        <v>0</v>
      </c>
      <c r="AK374" s="1767">
        <v>0</v>
      </c>
      <c r="AL374" s="1767">
        <v>438.36502271558072</v>
      </c>
      <c r="AM374" s="1767"/>
      <c r="AN374" s="1767">
        <v>100.21588589634499</v>
      </c>
      <c r="AO374" s="1767">
        <v>0</v>
      </c>
      <c r="AP374" s="1767">
        <v>0</v>
      </c>
      <c r="AQ374" s="1767">
        <v>0</v>
      </c>
      <c r="AR374" s="1767">
        <v>0</v>
      </c>
      <c r="AS374" s="1767">
        <v>0</v>
      </c>
      <c r="AT374" s="1767">
        <v>0</v>
      </c>
      <c r="AU374" s="1767">
        <v>0</v>
      </c>
      <c r="AV374" s="1767">
        <v>0</v>
      </c>
      <c r="AW374" s="1767">
        <v>0</v>
      </c>
      <c r="AX374" s="1767">
        <v>0</v>
      </c>
      <c r="AY374" s="1767">
        <v>0</v>
      </c>
      <c r="AZ374" s="1767">
        <v>0</v>
      </c>
      <c r="BA374" s="1767"/>
      <c r="BB374" s="1767">
        <v>0</v>
      </c>
      <c r="BC374" s="1767">
        <v>0</v>
      </c>
      <c r="BD374" s="1767">
        <v>0</v>
      </c>
      <c r="BE374" s="1767">
        <v>0</v>
      </c>
      <c r="BF374" s="1767">
        <v>0</v>
      </c>
      <c r="BG374" s="1767">
        <v>827.90833354223957</v>
      </c>
      <c r="BH374" s="1767">
        <v>0</v>
      </c>
      <c r="BI374" s="1767">
        <v>0</v>
      </c>
      <c r="BJ374" s="1767">
        <v>0</v>
      </c>
      <c r="BK374" s="1767">
        <v>6955.94</v>
      </c>
      <c r="BL374" s="1767">
        <v>2</v>
      </c>
      <c r="BM374" s="1767"/>
      <c r="BN374" s="1767"/>
      <c r="BO374" s="1767"/>
      <c r="BP374" s="1767"/>
      <c r="BQ374" s="1767"/>
      <c r="BR374" s="1767"/>
      <c r="BS374" s="1767"/>
      <c r="BT374" s="1767"/>
      <c r="BU374" s="1767"/>
      <c r="BV374" s="1767">
        <v>6416.7578186032515</v>
      </c>
      <c r="BW374" s="1767"/>
      <c r="BX374" s="1767"/>
      <c r="BY374" s="1767"/>
      <c r="BZ374" s="1767"/>
      <c r="CA374" s="1767"/>
      <c r="CB374" s="1767"/>
      <c r="CC374" s="1767"/>
      <c r="CD374" s="1767"/>
      <c r="CE374" s="1767"/>
      <c r="CF374" s="1767"/>
      <c r="CG374" s="1767"/>
      <c r="CH374" s="1767"/>
      <c r="CI374" s="1767">
        <v>33962.159000000007</v>
      </c>
      <c r="CJ374" s="1767">
        <v>-4567.8381799999916</v>
      </c>
      <c r="CK374" s="1767"/>
      <c r="CL374" s="1767"/>
      <c r="CM374" s="1767"/>
      <c r="CN374" s="1767"/>
      <c r="CO374" s="1767">
        <v>-4568.6101199999994</v>
      </c>
      <c r="CP374" s="1767">
        <v>0</v>
      </c>
      <c r="CQ374" s="1767">
        <v>31</v>
      </c>
      <c r="CR374" s="1767">
        <v>-352.09619924494655</v>
      </c>
      <c r="CS374" s="1767">
        <v>0</v>
      </c>
      <c r="CT374" s="1767">
        <v>0</v>
      </c>
      <c r="CU374" s="1767">
        <v>0</v>
      </c>
      <c r="CV374" s="1767">
        <v>0</v>
      </c>
      <c r="CW374" s="1767">
        <v>0</v>
      </c>
      <c r="CX374" s="1767">
        <v>0</v>
      </c>
      <c r="CY374" s="1767">
        <v>0</v>
      </c>
      <c r="CZ374" s="1767">
        <v>-26.802238894049879</v>
      </c>
      <c r="DA374" s="1767">
        <v>0</v>
      </c>
      <c r="DB374" s="1767">
        <v>0</v>
      </c>
      <c r="DC374" s="1767">
        <v>0</v>
      </c>
      <c r="DD374" s="1767">
        <v>0</v>
      </c>
      <c r="DE374" s="1767">
        <v>0</v>
      </c>
      <c r="DF374" s="1767">
        <v>0</v>
      </c>
      <c r="DG374" s="1767">
        <v>0</v>
      </c>
      <c r="DH374" s="1767">
        <v>0</v>
      </c>
      <c r="DI374" s="1767">
        <v>-279.65037994397471</v>
      </c>
      <c r="DJ374" s="1767"/>
      <c r="DK374" s="1767">
        <v>0</v>
      </c>
      <c r="DL374" s="1767">
        <v>0</v>
      </c>
      <c r="DM374" s="1767">
        <v>0</v>
      </c>
      <c r="DN374" s="1767">
        <v>0</v>
      </c>
      <c r="DO374" s="1767">
        <v>-37.35672398680714</v>
      </c>
      <c r="DP374" s="1767">
        <v>-8.2868564201149866</v>
      </c>
      <c r="DQ374" s="1767">
        <v>0</v>
      </c>
      <c r="DR374" s="1767">
        <v>0</v>
      </c>
      <c r="DS374" s="1767"/>
      <c r="DT374" s="1767"/>
      <c r="DU374" s="1767"/>
      <c r="DV374" s="1767">
        <v>23728.112664260949</v>
      </c>
      <c r="DW374" s="1767">
        <v>0</v>
      </c>
      <c r="DX374" s="1767">
        <v>0</v>
      </c>
      <c r="DY374" s="1767">
        <v>-4568.6101199999976</v>
      </c>
      <c r="DZ374" s="1767">
        <v>0</v>
      </c>
      <c r="EA374" s="1767">
        <v>0</v>
      </c>
      <c r="EB374" s="1767">
        <v>0</v>
      </c>
      <c r="EC374" s="1767">
        <v>-4216.3424888883237</v>
      </c>
      <c r="ED374" s="1767">
        <v>0</v>
      </c>
      <c r="EE374" s="1767">
        <v>0</v>
      </c>
      <c r="EF374" s="1767">
        <v>0</v>
      </c>
      <c r="EG374" s="1767">
        <v>0</v>
      </c>
      <c r="EH374" s="1767">
        <v>0</v>
      </c>
      <c r="EI374" s="1767">
        <v>0</v>
      </c>
      <c r="EJ374" s="1767">
        <v>0</v>
      </c>
      <c r="EK374" s="1767">
        <v>0</v>
      </c>
      <c r="EL374" s="1767">
        <v>0</v>
      </c>
      <c r="EM374" s="1767">
        <v>0</v>
      </c>
      <c r="EN374" s="1767">
        <v>0</v>
      </c>
      <c r="EO374" s="1767">
        <v>0</v>
      </c>
      <c r="EP374" s="1767">
        <v>0</v>
      </c>
      <c r="EQ374" s="1767">
        <v>0</v>
      </c>
      <c r="ER374" s="1767">
        <v>0</v>
      </c>
      <c r="ES374" s="1767">
        <v>0</v>
      </c>
      <c r="ET374" s="1767">
        <v>0</v>
      </c>
      <c r="EU374" s="1767">
        <v>0</v>
      </c>
      <c r="EV374" s="1767">
        <v>229</v>
      </c>
      <c r="EW374" s="1767">
        <v>0</v>
      </c>
      <c r="EX374" s="1767">
        <v>0</v>
      </c>
      <c r="EY374" s="1767">
        <v>0</v>
      </c>
      <c r="EZ374" s="1767"/>
      <c r="FA374" s="1767">
        <v>0</v>
      </c>
      <c r="FB374" s="1767"/>
      <c r="FC374" s="1767"/>
      <c r="FD374" s="1767"/>
      <c r="FE374" s="1767"/>
      <c r="FF374" s="1767">
        <v>0</v>
      </c>
      <c r="FG374" s="1767">
        <v>0</v>
      </c>
      <c r="FH374" s="1767">
        <v>0</v>
      </c>
      <c r="FI374" s="1767">
        <v>0</v>
      </c>
    </row>
    <row r="375" spans="1:165">
      <c r="A375" s="1767">
        <v>373</v>
      </c>
      <c r="B375" s="1767" t="s">
        <v>2355</v>
      </c>
      <c r="C375" s="1767" t="s">
        <v>2336</v>
      </c>
      <c r="D375" s="1767" t="s">
        <v>1822</v>
      </c>
      <c r="E375" s="1767" t="s">
        <v>919</v>
      </c>
      <c r="F375" s="1767" t="s">
        <v>2352</v>
      </c>
      <c r="G375" s="1767" t="s">
        <v>1237</v>
      </c>
      <c r="H375" s="1767" t="s">
        <v>1237</v>
      </c>
      <c r="I375" s="1767" t="s">
        <v>1237</v>
      </c>
      <c r="J375" s="1767" t="s">
        <v>2337</v>
      </c>
      <c r="K375" s="1768">
        <v>44774</v>
      </c>
      <c r="L375" s="1767">
        <v>0</v>
      </c>
      <c r="M375" s="1767">
        <v>0</v>
      </c>
      <c r="N375" s="1767">
        <v>5.5609999999999999</v>
      </c>
      <c r="O375" s="1767">
        <v>5.2273399999999999</v>
      </c>
      <c r="P375" s="1767">
        <v>5.5609999999999999</v>
      </c>
      <c r="Q375" s="1767">
        <v>5.2273399999999999</v>
      </c>
      <c r="R375" s="1767"/>
      <c r="S375" s="1767">
        <v>707.13</v>
      </c>
      <c r="T375" s="1767">
        <v>119.97</v>
      </c>
      <c r="U375" s="1767"/>
      <c r="V375" s="1767">
        <v>4599.5030999999999</v>
      </c>
      <c r="W375" s="1767">
        <v>4599.5030999999999</v>
      </c>
      <c r="X375" s="1767">
        <v>4054.1358299999997</v>
      </c>
      <c r="Y375" s="1767">
        <v>0</v>
      </c>
      <c r="Z375" s="1767">
        <v>338.63642533393698</v>
      </c>
      <c r="AA375" s="1767">
        <v>0</v>
      </c>
      <c r="AB375" s="1767">
        <v>0</v>
      </c>
      <c r="AC375" s="1767">
        <v>0</v>
      </c>
      <c r="AD375" s="1767">
        <v>598.02555127046139</v>
      </c>
      <c r="AE375" s="1767">
        <v>2832.5673575195528</v>
      </c>
      <c r="AF375" s="1767">
        <v>667.17453855139479</v>
      </c>
      <c r="AG375" s="1767">
        <v>0</v>
      </c>
      <c r="AH375" s="1767">
        <v>0</v>
      </c>
      <c r="AI375" s="1767">
        <v>0</v>
      </c>
      <c r="AJ375" s="1767">
        <v>0</v>
      </c>
      <c r="AK375" s="1767">
        <v>0</v>
      </c>
      <c r="AL375" s="1767">
        <v>52.330266279151054</v>
      </c>
      <c r="AM375" s="1767"/>
      <c r="AN375" s="1767">
        <v>11.963372355461294</v>
      </c>
      <c r="AO375" s="1767">
        <v>0</v>
      </c>
      <c r="AP375" s="1767">
        <v>0</v>
      </c>
      <c r="AQ375" s="1767">
        <v>0</v>
      </c>
      <c r="AR375" s="1767">
        <v>0</v>
      </c>
      <c r="AS375" s="1767">
        <v>0</v>
      </c>
      <c r="AT375" s="1767">
        <v>0</v>
      </c>
      <c r="AU375" s="1767">
        <v>0</v>
      </c>
      <c r="AV375" s="1767">
        <v>0</v>
      </c>
      <c r="AW375" s="1767">
        <v>0</v>
      </c>
      <c r="AX375" s="1767">
        <v>0</v>
      </c>
      <c r="AY375" s="1767">
        <v>0</v>
      </c>
      <c r="AZ375" s="1767">
        <v>0</v>
      </c>
      <c r="BA375" s="1767"/>
      <c r="BB375" s="1767">
        <v>0</v>
      </c>
      <c r="BC375" s="1767">
        <v>0</v>
      </c>
      <c r="BD375" s="1767">
        <v>0</v>
      </c>
      <c r="BE375" s="1767">
        <v>0</v>
      </c>
      <c r="BF375" s="1767">
        <v>0</v>
      </c>
      <c r="BG375" s="1767">
        <v>98.8323915092639</v>
      </c>
      <c r="BH375" s="1767">
        <v>0</v>
      </c>
      <c r="BI375" s="1767">
        <v>0</v>
      </c>
      <c r="BJ375" s="1767">
        <v>0</v>
      </c>
      <c r="BK375" s="1767">
        <v>780.54</v>
      </c>
      <c r="BL375" s="1767">
        <v>7</v>
      </c>
      <c r="BM375" s="1767"/>
      <c r="BN375" s="1767"/>
      <c r="BO375" s="1767"/>
      <c r="BP375" s="1767"/>
      <c r="BQ375" s="1767">
        <v>243.24814980000005</v>
      </c>
      <c r="BR375" s="1767"/>
      <c r="BS375" s="1767"/>
      <c r="BT375" s="1767"/>
      <c r="BU375" s="1767"/>
      <c r="BV375" s="1767">
        <v>766.00693006065865</v>
      </c>
      <c r="BW375" s="1767"/>
      <c r="BX375" s="1767"/>
      <c r="BY375" s="1767"/>
      <c r="BZ375" s="1767"/>
      <c r="CA375" s="1767"/>
      <c r="CB375" s="1767"/>
      <c r="CC375" s="1767"/>
      <c r="CD375" s="1767"/>
      <c r="CE375" s="1767"/>
      <c r="CF375" s="1767"/>
      <c r="CG375" s="1767"/>
      <c r="CH375" s="1767"/>
      <c r="CI375" s="1767">
        <v>3812.8269</v>
      </c>
      <c r="CJ375" s="1767">
        <v>-510.73601400000007</v>
      </c>
      <c r="CK375" s="1767"/>
      <c r="CL375" s="1767"/>
      <c r="CM375" s="1767"/>
      <c r="CN375" s="1767"/>
      <c r="CO375" s="1767">
        <v>-545.3672700000003</v>
      </c>
      <c r="CP375" s="1767">
        <v>0</v>
      </c>
      <c r="CQ375" s="1767">
        <v>31</v>
      </c>
      <c r="CR375" s="1767">
        <v>-42.031838553686384</v>
      </c>
      <c r="CS375" s="1767">
        <v>0</v>
      </c>
      <c r="CT375" s="1767">
        <v>0</v>
      </c>
      <c r="CU375" s="1767">
        <v>0</v>
      </c>
      <c r="CV375" s="1767">
        <v>0</v>
      </c>
      <c r="CW375" s="1767">
        <v>0</v>
      </c>
      <c r="CX375" s="1767">
        <v>0</v>
      </c>
      <c r="CY375" s="1767">
        <v>0</v>
      </c>
      <c r="CZ375" s="1767">
        <v>-3.1995442736598534</v>
      </c>
      <c r="DA375" s="1767">
        <v>0</v>
      </c>
      <c r="DB375" s="1767">
        <v>0</v>
      </c>
      <c r="DC375" s="1767">
        <v>0</v>
      </c>
      <c r="DD375" s="1767">
        <v>0</v>
      </c>
      <c r="DE375" s="1767">
        <v>0</v>
      </c>
      <c r="DF375" s="1767">
        <v>0</v>
      </c>
      <c r="DG375" s="1767">
        <v>0</v>
      </c>
      <c r="DH375" s="1767">
        <v>0</v>
      </c>
      <c r="DI375" s="1767">
        <v>-33.383545878907341</v>
      </c>
      <c r="DJ375" s="1767"/>
      <c r="DK375" s="1767">
        <v>0</v>
      </c>
      <c r="DL375" s="1767">
        <v>0</v>
      </c>
      <c r="DM375" s="1767">
        <v>0</v>
      </c>
      <c r="DN375" s="1767">
        <v>0</v>
      </c>
      <c r="DO375" s="1767">
        <v>-4.459496566209296</v>
      </c>
      <c r="DP375" s="1767">
        <v>-0.9892518349098598</v>
      </c>
      <c r="DQ375" s="1767">
        <v>0</v>
      </c>
      <c r="DR375" s="1767">
        <v>0</v>
      </c>
      <c r="DS375" s="1767"/>
      <c r="DT375" s="1767"/>
      <c r="DU375" s="1767"/>
      <c r="DV375" s="1767">
        <v>2832.5673575195528</v>
      </c>
      <c r="DW375" s="1767">
        <v>0</v>
      </c>
      <c r="DX375" s="1767">
        <v>0</v>
      </c>
      <c r="DY375" s="1767">
        <v>-545.36727000000019</v>
      </c>
      <c r="DZ375" s="1767">
        <v>0</v>
      </c>
      <c r="EA375" s="1767">
        <v>0</v>
      </c>
      <c r="EB375" s="1767">
        <v>0</v>
      </c>
      <c r="EC375" s="1767">
        <v>-503.33013295812771</v>
      </c>
      <c r="ED375" s="1767">
        <v>0</v>
      </c>
      <c r="EE375" s="1767">
        <v>0</v>
      </c>
      <c r="EF375" s="1767">
        <v>0</v>
      </c>
      <c r="EG375" s="1767">
        <v>0</v>
      </c>
      <c r="EH375" s="1767">
        <v>0</v>
      </c>
      <c r="EI375" s="1767">
        <v>0</v>
      </c>
      <c r="EJ375" s="1767">
        <v>0</v>
      </c>
      <c r="EK375" s="1767">
        <v>0</v>
      </c>
      <c r="EL375" s="1767">
        <v>0</v>
      </c>
      <c r="EM375" s="1767">
        <v>0</v>
      </c>
      <c r="EN375" s="1767">
        <v>0</v>
      </c>
      <c r="EO375" s="1767">
        <v>0</v>
      </c>
      <c r="EP375" s="1767">
        <v>0</v>
      </c>
      <c r="EQ375" s="1767">
        <v>0</v>
      </c>
      <c r="ER375" s="1767">
        <v>0</v>
      </c>
      <c r="ES375" s="1767">
        <v>0</v>
      </c>
      <c r="ET375" s="1767">
        <v>0</v>
      </c>
      <c r="EU375" s="1767">
        <v>0</v>
      </c>
      <c r="EV375" s="1767">
        <v>229</v>
      </c>
      <c r="EW375" s="1767">
        <v>0</v>
      </c>
      <c r="EX375" s="1767">
        <v>0</v>
      </c>
      <c r="EY375" s="1767">
        <v>0</v>
      </c>
      <c r="EZ375" s="1767"/>
      <c r="FA375" s="1767">
        <v>0</v>
      </c>
      <c r="FB375" s="1767"/>
      <c r="FC375" s="1767"/>
      <c r="FD375" s="1767"/>
      <c r="FE375" s="1767"/>
      <c r="FF375" s="1767">
        <v>0</v>
      </c>
      <c r="FG375" s="1767">
        <v>0</v>
      </c>
      <c r="FH375" s="1767">
        <v>0</v>
      </c>
      <c r="FI375" s="1767">
        <v>0</v>
      </c>
    </row>
    <row r="376" spans="1:165">
      <c r="A376" s="1767">
        <v>374</v>
      </c>
      <c r="B376" s="1767" t="s">
        <v>2355</v>
      </c>
      <c r="C376" s="1767" t="s">
        <v>2344</v>
      </c>
      <c r="D376" s="1767" t="s">
        <v>533</v>
      </c>
      <c r="E376" s="1767" t="s">
        <v>919</v>
      </c>
      <c r="F376" s="1767" t="s">
        <v>2352</v>
      </c>
      <c r="G376" s="1767" t="s">
        <v>1237</v>
      </c>
      <c r="H376" s="1767" t="s">
        <v>1237</v>
      </c>
      <c r="I376" s="1767" t="s">
        <v>891</v>
      </c>
      <c r="J376" s="1767" t="s">
        <v>2337</v>
      </c>
      <c r="K376" s="1768">
        <v>44774</v>
      </c>
      <c r="L376" s="1767">
        <v>0</v>
      </c>
      <c r="M376" s="1767">
        <v>0</v>
      </c>
      <c r="N376" s="1767">
        <v>4.5410000000000004</v>
      </c>
      <c r="O376" s="1767">
        <v>4.2685399999999998</v>
      </c>
      <c r="P376" s="1767">
        <v>4.5410000000000004</v>
      </c>
      <c r="Q376" s="1767">
        <v>4.2685399999999998</v>
      </c>
      <c r="R376" s="1767"/>
      <c r="S376" s="1767">
        <v>3312.96</v>
      </c>
      <c r="T376" s="1767">
        <v>119.97</v>
      </c>
      <c r="U376" s="1767"/>
      <c r="V376" s="1767">
        <v>15588.935130000002</v>
      </c>
      <c r="W376" s="1767">
        <v>15588.935130000002</v>
      </c>
      <c r="X376" s="1767">
        <v>13531.317210000001</v>
      </c>
      <c r="Y376" s="1767">
        <v>0</v>
      </c>
      <c r="Z376" s="1767">
        <v>240.57557390289952</v>
      </c>
      <c r="AA376" s="1767">
        <v>0</v>
      </c>
      <c r="AB376" s="1767">
        <v>0</v>
      </c>
      <c r="AC376" s="1767">
        <v>0</v>
      </c>
      <c r="AD376" s="1767">
        <v>3395.0287193915015</v>
      </c>
      <c r="AE376" s="1767">
        <v>11321.579472105361</v>
      </c>
      <c r="AF376" s="1767">
        <v>544.80121912639527</v>
      </c>
      <c r="AG376" s="1767">
        <v>0</v>
      </c>
      <c r="AH376" s="1767">
        <v>0</v>
      </c>
      <c r="AI376" s="1767">
        <v>0</v>
      </c>
      <c r="AJ376" s="1767">
        <v>0</v>
      </c>
      <c r="AK376" s="1767">
        <v>0</v>
      </c>
      <c r="AL376" s="1767">
        <v>42.73183585211742</v>
      </c>
      <c r="AM376" s="1767"/>
      <c r="AN376" s="1767">
        <v>3.817763978182819</v>
      </c>
      <c r="AO376" s="1767">
        <v>0</v>
      </c>
      <c r="AP376" s="1767">
        <v>0</v>
      </c>
      <c r="AQ376" s="1767">
        <v>0</v>
      </c>
      <c r="AR376" s="1767">
        <v>0</v>
      </c>
      <c r="AS376" s="1767">
        <v>0</v>
      </c>
      <c r="AT376" s="1767">
        <v>0</v>
      </c>
      <c r="AU376" s="1767">
        <v>0</v>
      </c>
      <c r="AV376" s="1767">
        <v>0</v>
      </c>
      <c r="AW376" s="1767">
        <v>0</v>
      </c>
      <c r="AX376" s="1767">
        <v>0</v>
      </c>
      <c r="AY376" s="1767">
        <v>0</v>
      </c>
      <c r="AZ376" s="1767">
        <v>0</v>
      </c>
      <c r="BA376" s="1767"/>
      <c r="BB376" s="1767">
        <v>0</v>
      </c>
      <c r="BC376" s="1767">
        <v>0</v>
      </c>
      <c r="BD376" s="1767">
        <v>0</v>
      </c>
      <c r="BE376" s="1767">
        <v>0</v>
      </c>
      <c r="BF376" s="1767">
        <v>0</v>
      </c>
      <c r="BG376" s="1767">
        <v>40.43237106570399</v>
      </c>
      <c r="BH376" s="1767">
        <v>0</v>
      </c>
      <c r="BI376" s="1767">
        <v>0</v>
      </c>
      <c r="BJ376" s="1767">
        <v>0</v>
      </c>
      <c r="BK376" s="1767">
        <v>0</v>
      </c>
      <c r="BL376" s="1767">
        <v>0</v>
      </c>
      <c r="BM376" s="1767"/>
      <c r="BN376" s="1767"/>
      <c r="BO376" s="1767"/>
      <c r="BP376" s="1767"/>
      <c r="BQ376" s="1767">
        <v>811.87903260000178</v>
      </c>
      <c r="BR376" s="1767"/>
      <c r="BS376" s="1767"/>
      <c r="BT376" s="1767"/>
      <c r="BU376" s="1767"/>
      <c r="BV376" s="1767">
        <v>585.2335901920992</v>
      </c>
      <c r="BW376" s="1767"/>
      <c r="BX376" s="1767"/>
      <c r="BY376" s="1767"/>
      <c r="BZ376" s="1767"/>
      <c r="CA376" s="1767"/>
      <c r="CB376" s="1767"/>
      <c r="CC376" s="1767"/>
      <c r="CD376" s="1767"/>
      <c r="CE376" s="1767"/>
      <c r="CF376" s="1767"/>
      <c r="CG376" s="1767"/>
      <c r="CH376" s="1767"/>
      <c r="CI376" s="1767">
        <v>12723.788699999999</v>
      </c>
      <c r="CJ376" s="1767">
        <v>-1929.8403222000015</v>
      </c>
      <c r="CK376" s="1767"/>
      <c r="CL376" s="1767"/>
      <c r="CM376" s="1767"/>
      <c r="CN376" s="1767"/>
      <c r="CO376" s="1767">
        <v>-2057.6179199999997</v>
      </c>
      <c r="CP376" s="1767">
        <v>0</v>
      </c>
      <c r="CQ376" s="1767">
        <v>31</v>
      </c>
      <c r="CR376" s="1767">
        <v>-45.837725061584933</v>
      </c>
      <c r="CS376" s="1767">
        <v>0</v>
      </c>
      <c r="CT376" s="1767">
        <v>0</v>
      </c>
      <c r="CU376" s="1767">
        <v>0</v>
      </c>
      <c r="CV376" s="1767">
        <v>0</v>
      </c>
      <c r="CW376" s="1767">
        <v>0</v>
      </c>
      <c r="CX376" s="1767">
        <v>0</v>
      </c>
      <c r="CY376" s="1767">
        <v>0</v>
      </c>
      <c r="CZ376" s="1767">
        <v>-18.16401435519083</v>
      </c>
      <c r="DA376" s="1767">
        <v>0</v>
      </c>
      <c r="DB376" s="1767">
        <v>0</v>
      </c>
      <c r="DC376" s="1767">
        <v>0</v>
      </c>
      <c r="DD376" s="1767">
        <v>0</v>
      </c>
      <c r="DE376" s="1767">
        <v>0</v>
      </c>
      <c r="DF376" s="1767">
        <v>0</v>
      </c>
      <c r="DG376" s="1767">
        <v>0</v>
      </c>
      <c r="DH376" s="1767">
        <v>0</v>
      </c>
      <c r="DI376" s="1767">
        <v>-23.716485020216112</v>
      </c>
      <c r="DJ376" s="1767"/>
      <c r="DK376" s="1767">
        <v>0</v>
      </c>
      <c r="DL376" s="1767">
        <v>0</v>
      </c>
      <c r="DM376" s="1767">
        <v>0</v>
      </c>
      <c r="DN376" s="1767">
        <v>0</v>
      </c>
      <c r="DO376" s="1767">
        <v>-3.6415345993807691</v>
      </c>
      <c r="DP376" s="1767">
        <v>-0.31569108679844593</v>
      </c>
      <c r="DQ376" s="1767">
        <v>0</v>
      </c>
      <c r="DR376" s="1767">
        <v>0</v>
      </c>
      <c r="DS376" s="1767"/>
      <c r="DT376" s="1767"/>
      <c r="DU376" s="1767"/>
      <c r="DV376" s="1767">
        <v>11321.579472105361</v>
      </c>
      <c r="DW376" s="1767">
        <v>0</v>
      </c>
      <c r="DX376" s="1767">
        <v>0</v>
      </c>
      <c r="DY376" s="1767">
        <v>-2057.6179200000006</v>
      </c>
      <c r="DZ376" s="1767">
        <v>0</v>
      </c>
      <c r="EA376" s="1767">
        <v>0</v>
      </c>
      <c r="EB376" s="1767">
        <v>0</v>
      </c>
      <c r="EC376" s="1767">
        <v>-2011.7763787198583</v>
      </c>
      <c r="ED376" s="1767">
        <v>0</v>
      </c>
      <c r="EE376" s="1767">
        <v>0</v>
      </c>
      <c r="EF376" s="1767">
        <v>0</v>
      </c>
      <c r="EG376" s="1767">
        <v>0</v>
      </c>
      <c r="EH376" s="1767">
        <v>0</v>
      </c>
      <c r="EI376" s="1767">
        <v>0</v>
      </c>
      <c r="EJ376" s="1767">
        <v>0</v>
      </c>
      <c r="EK376" s="1767">
        <v>0</v>
      </c>
      <c r="EL376" s="1767">
        <v>0</v>
      </c>
      <c r="EM376" s="1767">
        <v>0</v>
      </c>
      <c r="EN376" s="1767">
        <v>0</v>
      </c>
      <c r="EO376" s="1767">
        <v>0</v>
      </c>
      <c r="EP376" s="1767">
        <v>0</v>
      </c>
      <c r="EQ376" s="1767">
        <v>0</v>
      </c>
      <c r="ER376" s="1767">
        <v>0</v>
      </c>
      <c r="ES376" s="1767">
        <v>0</v>
      </c>
      <c r="ET376" s="1767">
        <v>0</v>
      </c>
      <c r="EU376" s="1767">
        <v>0</v>
      </c>
      <c r="EV376" s="1767">
        <v>229</v>
      </c>
      <c r="EW376" s="1767">
        <v>0</v>
      </c>
      <c r="EX376" s="1767">
        <v>0</v>
      </c>
      <c r="EY376" s="1767">
        <v>0</v>
      </c>
      <c r="EZ376" s="1767"/>
      <c r="FA376" s="1767">
        <v>0</v>
      </c>
      <c r="FB376" s="1767"/>
      <c r="FC376" s="1767"/>
      <c r="FD376" s="1767"/>
      <c r="FE376" s="1767"/>
      <c r="FF376" s="1767">
        <v>0</v>
      </c>
      <c r="FG376" s="1767">
        <v>0</v>
      </c>
      <c r="FH376" s="1767">
        <v>0</v>
      </c>
      <c r="FI376" s="1767">
        <v>0</v>
      </c>
    </row>
    <row r="377" spans="1:165">
      <c r="A377" s="1767">
        <v>375</v>
      </c>
      <c r="B377" s="1767" t="s">
        <v>2355</v>
      </c>
      <c r="C377" s="1767" t="s">
        <v>2344</v>
      </c>
      <c r="D377" s="1767" t="s">
        <v>533</v>
      </c>
      <c r="E377" s="1767" t="s">
        <v>919</v>
      </c>
      <c r="F377" s="1767" t="s">
        <v>2352</v>
      </c>
      <c r="G377" s="1767" t="s">
        <v>1237</v>
      </c>
      <c r="H377" s="1767" t="s">
        <v>1237</v>
      </c>
      <c r="I377" s="1767" t="s">
        <v>2322</v>
      </c>
      <c r="J377" s="1767" t="s">
        <v>2337</v>
      </c>
      <c r="K377" s="1768">
        <v>44774</v>
      </c>
      <c r="L377" s="1767">
        <v>0</v>
      </c>
      <c r="M377" s="1767">
        <v>0</v>
      </c>
      <c r="N377" s="1767">
        <v>39.697000000000003</v>
      </c>
      <c r="O377" s="1767">
        <v>37.315179999999998</v>
      </c>
      <c r="P377" s="1767">
        <v>39.697000000000003</v>
      </c>
      <c r="Q377" s="1767">
        <v>37.315179999999998</v>
      </c>
      <c r="R377" s="1767"/>
      <c r="S377" s="1767">
        <v>72.13</v>
      </c>
      <c r="T377" s="1767">
        <v>119.97</v>
      </c>
      <c r="U377" s="1767"/>
      <c r="V377" s="1767">
        <v>7625.7937000000002</v>
      </c>
      <c r="W377" s="1767">
        <v>7625.7937000000002</v>
      </c>
      <c r="X377" s="1767">
        <v>7384.0389700000005</v>
      </c>
      <c r="Y377" s="1767">
        <v>0</v>
      </c>
      <c r="Z377" s="1767">
        <v>2103.0893101130591</v>
      </c>
      <c r="AA377" s="1767">
        <v>0</v>
      </c>
      <c r="AB377" s="1767">
        <v>0</v>
      </c>
      <c r="AC377" s="1767">
        <v>0</v>
      </c>
      <c r="AD377" s="1767">
        <v>0</v>
      </c>
      <c r="AE377" s="1767">
        <v>0</v>
      </c>
      <c r="AF377" s="1767">
        <v>4762.6016286413806</v>
      </c>
      <c r="AG377" s="1767">
        <v>0</v>
      </c>
      <c r="AH377" s="1767">
        <v>0</v>
      </c>
      <c r="AI377" s="1767">
        <v>0</v>
      </c>
      <c r="AJ377" s="1767">
        <v>0</v>
      </c>
      <c r="AK377" s="1767">
        <v>0</v>
      </c>
      <c r="AL377" s="1767">
        <v>373.5577379038769</v>
      </c>
      <c r="AM377" s="1767"/>
      <c r="AN377" s="1767">
        <v>33.374537908373348</v>
      </c>
      <c r="AO377" s="1767">
        <v>0</v>
      </c>
      <c r="AP377" s="1767">
        <v>0</v>
      </c>
      <c r="AQ377" s="1767">
        <v>0</v>
      </c>
      <c r="AR377" s="1767">
        <v>0</v>
      </c>
      <c r="AS377" s="1767">
        <v>0</v>
      </c>
      <c r="AT377" s="1767">
        <v>0</v>
      </c>
      <c r="AU377" s="1767">
        <v>0</v>
      </c>
      <c r="AV377" s="1767">
        <v>0</v>
      </c>
      <c r="AW377" s="1767">
        <v>0</v>
      </c>
      <c r="AX377" s="1767">
        <v>0</v>
      </c>
      <c r="AY377" s="1767">
        <v>0</v>
      </c>
      <c r="AZ377" s="1767">
        <v>0</v>
      </c>
      <c r="BA377" s="1767"/>
      <c r="BB377" s="1767">
        <v>0</v>
      </c>
      <c r="BC377" s="1767">
        <v>0</v>
      </c>
      <c r="BD377" s="1767">
        <v>0</v>
      </c>
      <c r="BE377" s="1767">
        <v>0</v>
      </c>
      <c r="BF377" s="1767">
        <v>0</v>
      </c>
      <c r="BG377" s="1767">
        <v>353.45603043277941</v>
      </c>
      <c r="BH377" s="1767">
        <v>0</v>
      </c>
      <c r="BI377" s="1767">
        <v>0</v>
      </c>
      <c r="BJ377" s="1767">
        <v>0</v>
      </c>
      <c r="BK377" s="1767">
        <v>0</v>
      </c>
      <c r="BL377" s="1767">
        <v>0</v>
      </c>
      <c r="BM377" s="1767"/>
      <c r="BN377" s="1767"/>
      <c r="BO377" s="1767"/>
      <c r="BP377" s="1767"/>
      <c r="BQ377" s="1767">
        <v>443.04233820000093</v>
      </c>
      <c r="BR377" s="1767"/>
      <c r="BS377" s="1767"/>
      <c r="BT377" s="1767"/>
      <c r="BU377" s="1767"/>
      <c r="BV377" s="1767">
        <v>5116.0576590741603</v>
      </c>
      <c r="BW377" s="1767"/>
      <c r="BX377" s="1767"/>
      <c r="BY377" s="1767"/>
      <c r="BZ377" s="1767"/>
      <c r="CA377" s="1767"/>
      <c r="CB377" s="1767"/>
      <c r="CC377" s="1767"/>
      <c r="CD377" s="1767"/>
      <c r="CE377" s="1767"/>
      <c r="CF377" s="1767"/>
      <c r="CG377" s="1767"/>
      <c r="CH377" s="1767"/>
      <c r="CI377" s="1767">
        <v>6941.8932000000004</v>
      </c>
      <c r="CJ377" s="1767">
        <v>-226.38287800000035</v>
      </c>
      <c r="CK377" s="1767"/>
      <c r="CL377" s="1767"/>
      <c r="CM377" s="1767"/>
      <c r="CN377" s="1767"/>
      <c r="CO377" s="1767">
        <v>-241.7547299999996</v>
      </c>
      <c r="CP377" s="1767">
        <v>0</v>
      </c>
      <c r="CQ377" s="1767">
        <v>31</v>
      </c>
      <c r="CR377" s="1767">
        <v>-241.92100724769261</v>
      </c>
      <c r="CS377" s="1767">
        <v>0</v>
      </c>
      <c r="CT377" s="1767">
        <v>0</v>
      </c>
      <c r="CU377" s="1767">
        <v>0</v>
      </c>
      <c r="CV377" s="1767">
        <v>0</v>
      </c>
      <c r="CW377" s="1767">
        <v>0</v>
      </c>
      <c r="CX377" s="1767">
        <v>0</v>
      </c>
      <c r="CY377" s="1767">
        <v>0</v>
      </c>
      <c r="CZ377" s="1767">
        <v>0</v>
      </c>
      <c r="DA377" s="1767">
        <v>0</v>
      </c>
      <c r="DB377" s="1767">
        <v>0</v>
      </c>
      <c r="DC377" s="1767">
        <v>0</v>
      </c>
      <c r="DD377" s="1767">
        <v>0</v>
      </c>
      <c r="DE377" s="1767">
        <v>0</v>
      </c>
      <c r="DF377" s="1767">
        <v>0</v>
      </c>
      <c r="DG377" s="1767">
        <v>0</v>
      </c>
      <c r="DH377" s="1767">
        <v>0</v>
      </c>
      <c r="DI377" s="1767">
        <v>-207.32730804834137</v>
      </c>
      <c r="DJ377" s="1767"/>
      <c r="DK377" s="1767">
        <v>0</v>
      </c>
      <c r="DL377" s="1767">
        <v>0</v>
      </c>
      <c r="DM377" s="1767">
        <v>0</v>
      </c>
      <c r="DN377" s="1767">
        <v>0</v>
      </c>
      <c r="DO377" s="1767">
        <v>-31.833957056070915</v>
      </c>
      <c r="DP377" s="1767">
        <v>-2.7597421432807572</v>
      </c>
      <c r="DQ377" s="1767">
        <v>0</v>
      </c>
      <c r="DR377" s="1767">
        <v>0</v>
      </c>
      <c r="DS377" s="1767"/>
      <c r="DT377" s="1767"/>
      <c r="DU377" s="1767"/>
      <c r="DV377" s="1767">
        <v>0</v>
      </c>
      <c r="DW377" s="1767">
        <v>0</v>
      </c>
      <c r="DX377" s="1767">
        <v>0</v>
      </c>
      <c r="DY377" s="1767">
        <v>-241.75472999999965</v>
      </c>
      <c r="DZ377" s="1767">
        <v>0</v>
      </c>
      <c r="EA377" s="1767">
        <v>0</v>
      </c>
      <c r="EB377" s="1767">
        <v>0</v>
      </c>
      <c r="EC377" s="1767">
        <v>0</v>
      </c>
      <c r="ED377" s="1767">
        <v>0</v>
      </c>
      <c r="EE377" s="1767">
        <v>0</v>
      </c>
      <c r="EF377" s="1767">
        <v>0</v>
      </c>
      <c r="EG377" s="1767">
        <v>0</v>
      </c>
      <c r="EH377" s="1767">
        <v>0</v>
      </c>
      <c r="EI377" s="1767">
        <v>0</v>
      </c>
      <c r="EJ377" s="1767">
        <v>0</v>
      </c>
      <c r="EK377" s="1767">
        <v>0</v>
      </c>
      <c r="EL377" s="1767">
        <v>0</v>
      </c>
      <c r="EM377" s="1767">
        <v>0</v>
      </c>
      <c r="EN377" s="1767">
        <v>0</v>
      </c>
      <c r="EO377" s="1767">
        <v>0</v>
      </c>
      <c r="EP377" s="1767">
        <v>0</v>
      </c>
      <c r="EQ377" s="1767">
        <v>0</v>
      </c>
      <c r="ER377" s="1767">
        <v>0</v>
      </c>
      <c r="ES377" s="1767">
        <v>0</v>
      </c>
      <c r="ET377" s="1767">
        <v>0</v>
      </c>
      <c r="EU377" s="1767">
        <v>0</v>
      </c>
      <c r="EV377" s="1767">
        <v>229</v>
      </c>
      <c r="EW377" s="1767">
        <v>0</v>
      </c>
      <c r="EX377" s="1767">
        <v>0</v>
      </c>
      <c r="EY377" s="1767">
        <v>0</v>
      </c>
      <c r="EZ377" s="1767"/>
      <c r="FA377" s="1767">
        <v>0</v>
      </c>
      <c r="FB377" s="1767"/>
      <c r="FC377" s="1767"/>
      <c r="FD377" s="1767"/>
      <c r="FE377" s="1767"/>
      <c r="FF377" s="1767">
        <v>0</v>
      </c>
      <c r="FG377" s="1767">
        <v>0</v>
      </c>
      <c r="FH377" s="1767">
        <v>0</v>
      </c>
      <c r="FI377" s="1767">
        <v>0</v>
      </c>
    </row>
    <row r="378" spans="1:165">
      <c r="A378" s="1767">
        <v>376</v>
      </c>
      <c r="B378" s="1767" t="s">
        <v>2355</v>
      </c>
      <c r="C378" s="1767" t="s">
        <v>2344</v>
      </c>
      <c r="D378" s="1767" t="s">
        <v>533</v>
      </c>
      <c r="E378" s="1767" t="s">
        <v>919</v>
      </c>
      <c r="F378" s="1767" t="s">
        <v>2352</v>
      </c>
      <c r="G378" s="1767" t="s">
        <v>1237</v>
      </c>
      <c r="H378" s="1767" t="s">
        <v>1237</v>
      </c>
      <c r="I378" s="1767" t="s">
        <v>1237</v>
      </c>
      <c r="J378" s="1767" t="s">
        <v>2337</v>
      </c>
      <c r="K378" s="1768">
        <v>44774</v>
      </c>
      <c r="L378" s="1767">
        <v>100</v>
      </c>
      <c r="M378" s="1767">
        <v>94</v>
      </c>
      <c r="N378" s="1767">
        <v>0</v>
      </c>
      <c r="O378" s="1767">
        <v>0</v>
      </c>
      <c r="P378" s="1767">
        <v>0</v>
      </c>
      <c r="Q378" s="1767">
        <v>0</v>
      </c>
      <c r="R378" s="1767">
        <v>46.29</v>
      </c>
      <c r="S378" s="1767"/>
      <c r="T378" s="1767"/>
      <c r="U378" s="1767">
        <v>4629</v>
      </c>
      <c r="V378" s="1767"/>
      <c r="W378" s="1767">
        <v>4629</v>
      </c>
      <c r="X378" s="1767">
        <v>4115</v>
      </c>
      <c r="Y378" s="1767">
        <v>0</v>
      </c>
      <c r="Z378" s="1767">
        <v>0</v>
      </c>
      <c r="AA378" s="1767">
        <v>0</v>
      </c>
      <c r="AB378" s="1767">
        <v>0</v>
      </c>
      <c r="AC378" s="1767">
        <v>0</v>
      </c>
      <c r="AD378" s="1767">
        <v>1791.3012373515901</v>
      </c>
      <c r="AE378" s="1767">
        <v>2837.3428309380402</v>
      </c>
      <c r="AF378" s="1767"/>
      <c r="AG378" s="1767"/>
      <c r="AH378" s="1767"/>
      <c r="AI378" s="1767">
        <v>0</v>
      </c>
      <c r="AJ378" s="1767">
        <v>0</v>
      </c>
      <c r="AK378" s="1767">
        <v>0</v>
      </c>
      <c r="AL378" s="1767">
        <v>0</v>
      </c>
      <c r="AM378" s="1767"/>
      <c r="AN378" s="1767">
        <v>0</v>
      </c>
      <c r="AO378" s="1767">
        <v>0</v>
      </c>
      <c r="AP378" s="1767">
        <v>0</v>
      </c>
      <c r="AQ378" s="1767">
        <v>0</v>
      </c>
      <c r="AR378" s="1767">
        <v>0</v>
      </c>
      <c r="AS378" s="1767"/>
      <c r="AT378" s="1767"/>
      <c r="AU378" s="1767">
        <v>0</v>
      </c>
      <c r="AV378" s="1767">
        <v>0</v>
      </c>
      <c r="AW378" s="1767">
        <v>0</v>
      </c>
      <c r="AX378" s="1767"/>
      <c r="AY378" s="1767"/>
      <c r="AZ378" s="1767">
        <v>0</v>
      </c>
      <c r="BA378" s="1767"/>
      <c r="BB378" s="1767">
        <v>0</v>
      </c>
      <c r="BC378" s="1767">
        <v>0</v>
      </c>
      <c r="BD378" s="1767">
        <v>0</v>
      </c>
      <c r="BE378" s="1767">
        <v>0</v>
      </c>
      <c r="BF378" s="1767"/>
      <c r="BG378" s="1767">
        <v>0</v>
      </c>
      <c r="BH378" s="1767">
        <v>0</v>
      </c>
      <c r="BI378" s="1767">
        <v>0</v>
      </c>
      <c r="BJ378" s="1767">
        <v>0</v>
      </c>
      <c r="BK378" s="1767">
        <v>4819.1000000000004</v>
      </c>
      <c r="BL378" s="1767">
        <v>1</v>
      </c>
      <c r="BM378" s="1767"/>
      <c r="BN378" s="1767"/>
      <c r="BO378" s="1767"/>
      <c r="BP378" s="1767"/>
      <c r="BQ378" s="1767">
        <v>246.89999999999998</v>
      </c>
      <c r="BR378" s="1767"/>
      <c r="BS378" s="1767"/>
      <c r="BT378" s="1767"/>
      <c r="BU378" s="1767"/>
      <c r="BV378" s="1767">
        <v>0</v>
      </c>
      <c r="BW378" s="1767"/>
      <c r="BX378" s="1767"/>
      <c r="BY378" s="1767"/>
      <c r="BZ378" s="1767"/>
      <c r="CA378" s="1767"/>
      <c r="CB378" s="1767"/>
      <c r="CC378" s="1767"/>
      <c r="CD378" s="1767"/>
      <c r="CE378" s="1767"/>
      <c r="CF378" s="1767"/>
      <c r="CG378" s="1767"/>
      <c r="CH378" s="1767"/>
      <c r="CI378" s="1767">
        <v>3868.1</v>
      </c>
      <c r="CJ378" s="1767">
        <v>-483.19000000000096</v>
      </c>
      <c r="CK378" s="1767"/>
      <c r="CL378" s="1767"/>
      <c r="CM378" s="1767"/>
      <c r="CN378" s="1767"/>
      <c r="CO378" s="1767">
        <v>-514</v>
      </c>
      <c r="CP378" s="1767">
        <v>0</v>
      </c>
      <c r="CQ378" s="1767">
        <v>31</v>
      </c>
      <c r="CR378" s="1767">
        <v>-9.5837838436800666</v>
      </c>
      <c r="CS378" s="1767">
        <v>0</v>
      </c>
      <c r="CT378" s="1767">
        <v>0</v>
      </c>
      <c r="CU378" s="1767">
        <v>0</v>
      </c>
      <c r="CV378" s="1767">
        <v>0</v>
      </c>
      <c r="CW378" s="1767"/>
      <c r="CX378" s="1767"/>
      <c r="CY378" s="1767"/>
      <c r="CZ378" s="1767">
        <v>-9.5837838436800666</v>
      </c>
      <c r="DA378" s="1767">
        <v>0</v>
      </c>
      <c r="DB378" s="1767">
        <v>0</v>
      </c>
      <c r="DC378" s="1767"/>
      <c r="DD378" s="1767"/>
      <c r="DE378" s="1767">
        <v>0</v>
      </c>
      <c r="DF378" s="1767">
        <v>0</v>
      </c>
      <c r="DG378" s="1767">
        <v>0</v>
      </c>
      <c r="DH378" s="1767">
        <v>0</v>
      </c>
      <c r="DI378" s="1767">
        <v>0</v>
      </c>
      <c r="DJ378" s="1767"/>
      <c r="DK378" s="1767">
        <v>0</v>
      </c>
      <c r="DL378" s="1767">
        <v>0</v>
      </c>
      <c r="DM378" s="1767"/>
      <c r="DN378" s="1767">
        <v>0</v>
      </c>
      <c r="DO378" s="1767">
        <v>0</v>
      </c>
      <c r="DP378" s="1767">
        <v>0</v>
      </c>
      <c r="DQ378" s="1767">
        <v>0</v>
      </c>
      <c r="DR378" s="1767">
        <v>0</v>
      </c>
      <c r="DS378" s="1767"/>
      <c r="DT378" s="1767"/>
      <c r="DU378" s="1767">
        <v>2837.3428309380402</v>
      </c>
      <c r="DV378" s="1767"/>
      <c r="DW378" s="1767">
        <v>0</v>
      </c>
      <c r="DX378" s="1767">
        <v>0</v>
      </c>
      <c r="DY378" s="1767">
        <v>-514</v>
      </c>
      <c r="DZ378" s="1767"/>
      <c r="EA378" s="1767">
        <v>0</v>
      </c>
      <c r="EB378" s="1767"/>
      <c r="EC378" s="1767">
        <v>-504.17870577822032</v>
      </c>
      <c r="ED378" s="1767"/>
      <c r="EE378" s="1767">
        <v>0</v>
      </c>
      <c r="EF378" s="1767">
        <v>0</v>
      </c>
      <c r="EG378" s="1767"/>
      <c r="EH378" s="1767">
        <v>0</v>
      </c>
      <c r="EI378" s="1767">
        <v>0</v>
      </c>
      <c r="EJ378" s="1767">
        <v>0</v>
      </c>
      <c r="EK378" s="1767">
        <v>0</v>
      </c>
      <c r="EL378" s="1767">
        <v>0</v>
      </c>
      <c r="EM378" s="1767"/>
      <c r="EN378" s="1767"/>
      <c r="EO378" s="1767">
        <v>0</v>
      </c>
      <c r="EP378" s="1767">
        <v>0</v>
      </c>
      <c r="EQ378" s="1767"/>
      <c r="ER378" s="1767">
        <v>0</v>
      </c>
      <c r="ES378" s="1767"/>
      <c r="ET378" s="1767">
        <v>0</v>
      </c>
      <c r="EU378" s="1767"/>
      <c r="EV378" s="1767">
        <v>229</v>
      </c>
      <c r="EW378" s="1767"/>
      <c r="EX378" s="1767"/>
      <c r="EY378" s="1767"/>
      <c r="EZ378" s="1767"/>
      <c r="FA378" s="1767">
        <v>0</v>
      </c>
      <c r="FB378" s="1767"/>
      <c r="FC378" s="1767"/>
      <c r="FD378" s="1767"/>
      <c r="FE378" s="1767"/>
      <c r="FF378" s="1767">
        <v>0</v>
      </c>
      <c r="FG378" s="1767">
        <v>0</v>
      </c>
      <c r="FH378" s="1767">
        <v>0</v>
      </c>
      <c r="FI378" s="1767">
        <v>0</v>
      </c>
    </row>
    <row r="379" spans="1:165">
      <c r="K379" s="261"/>
      <c r="L379" s="261"/>
      <c r="M379" s="261"/>
      <c r="N379" s="261"/>
      <c r="O379" s="261"/>
      <c r="P379" s="261"/>
      <c r="Q379" s="261"/>
      <c r="BR379" s="261"/>
      <c r="BS379" s="261"/>
      <c r="BT379" s="261"/>
      <c r="BU379" s="261"/>
      <c r="BV379" s="261"/>
      <c r="CJ379" s="261"/>
      <c r="CO379" s="261"/>
      <c r="CP379" s="261"/>
      <c r="CQ379" s="261"/>
      <c r="CR379" s="261"/>
      <c r="CS379" s="261"/>
      <c r="CT379" s="261"/>
      <c r="CU379" s="261"/>
      <c r="CV379" s="261"/>
      <c r="CW379" s="261"/>
      <c r="CX379" s="261"/>
      <c r="CY379" s="261"/>
      <c r="CZ379" s="261"/>
      <c r="DA379" s="261"/>
      <c r="DB379" s="261"/>
      <c r="DC379" s="261"/>
      <c r="DD379" s="261"/>
      <c r="DE379" s="261"/>
      <c r="DF379" s="261"/>
      <c r="DG379" s="261"/>
      <c r="DH379" s="261"/>
      <c r="DI379" s="261"/>
      <c r="DJ379" s="261"/>
      <c r="DK379" s="261"/>
      <c r="DL379" s="261"/>
      <c r="DM379" s="261"/>
      <c r="DN379" s="261"/>
      <c r="DO379" s="261"/>
      <c r="DP379" s="261"/>
      <c r="DQ379" s="261"/>
      <c r="DR379" s="261"/>
      <c r="DS379" s="261"/>
      <c r="DY379" s="261"/>
      <c r="EC379" s="261"/>
      <c r="EP379" s="261"/>
    </row>
    <row r="380" spans="1:165">
      <c r="K380" s="261"/>
      <c r="L380" s="261"/>
      <c r="M380" s="261"/>
      <c r="N380" s="261"/>
      <c r="O380" s="261"/>
      <c r="P380" s="261"/>
      <c r="Q380" s="261"/>
      <c r="BR380" s="261"/>
      <c r="BS380" s="261"/>
      <c r="BT380" s="261"/>
      <c r="BU380" s="261"/>
      <c r="BV380" s="261"/>
      <c r="CJ380" s="261"/>
      <c r="CO380" s="261"/>
      <c r="CP380" s="261"/>
      <c r="CQ380" s="261"/>
      <c r="CR380" s="261"/>
      <c r="CS380" s="261"/>
      <c r="CT380" s="261"/>
      <c r="CU380" s="261"/>
      <c r="CV380" s="261"/>
      <c r="CW380" s="261"/>
      <c r="CX380" s="261"/>
      <c r="CY380" s="261"/>
      <c r="CZ380" s="261"/>
      <c r="DA380" s="261"/>
      <c r="DB380" s="261"/>
      <c r="DC380" s="261"/>
      <c r="DD380" s="261"/>
      <c r="DE380" s="261"/>
      <c r="DF380" s="261"/>
      <c r="DG380" s="261"/>
      <c r="DH380" s="261"/>
      <c r="DI380" s="261"/>
      <c r="DJ380" s="261"/>
      <c r="DK380" s="261"/>
      <c r="DL380" s="261"/>
      <c r="DM380" s="261"/>
      <c r="DN380" s="261"/>
      <c r="DO380" s="261"/>
      <c r="DP380" s="261"/>
      <c r="DQ380" s="261"/>
      <c r="DR380" s="261"/>
      <c r="DS380" s="261"/>
      <c r="DY380" s="261"/>
      <c r="EC380" s="261"/>
      <c r="EP380" s="261"/>
    </row>
    <row r="381" spans="1:165">
      <c r="K381" s="261"/>
      <c r="L381" s="261"/>
      <c r="M381" s="261"/>
      <c r="N381" s="261"/>
      <c r="O381" s="261"/>
      <c r="P381" s="261"/>
      <c r="Q381" s="261"/>
      <c r="BR381" s="261"/>
      <c r="BS381" s="261"/>
      <c r="BT381" s="261"/>
      <c r="BU381" s="261"/>
      <c r="BV381" s="261"/>
      <c r="CJ381" s="261"/>
      <c r="CO381" s="261"/>
      <c r="CP381" s="261"/>
      <c r="CQ381" s="261"/>
      <c r="CR381" s="261"/>
      <c r="CS381" s="261"/>
      <c r="CT381" s="261"/>
      <c r="CU381" s="261"/>
      <c r="CV381" s="261"/>
      <c r="CW381" s="261"/>
      <c r="CX381" s="261"/>
      <c r="CY381" s="261"/>
      <c r="CZ381" s="261"/>
      <c r="DA381" s="261"/>
      <c r="DB381" s="261"/>
      <c r="DC381" s="261"/>
      <c r="DD381" s="261"/>
      <c r="DE381" s="261"/>
      <c r="DF381" s="261"/>
      <c r="DG381" s="261"/>
      <c r="DH381" s="261"/>
      <c r="DI381" s="261"/>
      <c r="DJ381" s="261"/>
      <c r="DK381" s="261"/>
      <c r="DL381" s="261"/>
      <c r="DM381" s="261"/>
      <c r="DN381" s="261"/>
      <c r="DO381" s="261"/>
      <c r="DP381" s="261"/>
      <c r="DQ381" s="261"/>
      <c r="DR381" s="261"/>
      <c r="DS381" s="261"/>
      <c r="DY381" s="261"/>
      <c r="EC381" s="261"/>
      <c r="EP381" s="261"/>
    </row>
    <row r="382" spans="1:165">
      <c r="K382" s="261"/>
      <c r="L382" s="261"/>
      <c r="M382" s="261"/>
      <c r="N382" s="261"/>
      <c r="O382" s="261"/>
      <c r="P382" s="261"/>
      <c r="Q382" s="261"/>
      <c r="BR382" s="261"/>
      <c r="BS382" s="261"/>
      <c r="BT382" s="261"/>
      <c r="BU382" s="261"/>
      <c r="BV382" s="261"/>
      <c r="CJ382" s="261"/>
      <c r="CO382" s="261"/>
      <c r="CP382" s="261"/>
      <c r="CQ382" s="261"/>
      <c r="CR382" s="261"/>
      <c r="CS382" s="261"/>
      <c r="CT382" s="261"/>
      <c r="CU382" s="261"/>
      <c r="CV382" s="261"/>
      <c r="CW382" s="261"/>
      <c r="CX382" s="261"/>
      <c r="CY382" s="261"/>
      <c r="CZ382" s="261"/>
      <c r="DA382" s="261"/>
      <c r="DB382" s="261"/>
      <c r="DC382" s="261"/>
      <c r="DD382" s="261"/>
      <c r="DE382" s="261"/>
      <c r="DF382" s="261"/>
      <c r="DG382" s="261"/>
      <c r="DH382" s="261"/>
      <c r="DI382" s="261"/>
      <c r="DJ382" s="261"/>
      <c r="DK382" s="261"/>
      <c r="DL382" s="261"/>
      <c r="DM382" s="261"/>
      <c r="DN382" s="261"/>
      <c r="DO382" s="261"/>
      <c r="DP382" s="261"/>
      <c r="DQ382" s="261"/>
      <c r="DR382" s="261"/>
      <c r="DS382" s="261"/>
      <c r="DY382" s="261"/>
      <c r="EC382" s="261"/>
      <c r="EP382" s="261"/>
    </row>
    <row r="383" spans="1:165">
      <c r="K383" s="261"/>
      <c r="L383" s="261"/>
      <c r="M383" s="261"/>
      <c r="N383" s="261"/>
      <c r="O383" s="261"/>
      <c r="P383" s="261"/>
      <c r="Q383" s="261"/>
      <c r="BR383" s="261"/>
      <c r="BS383" s="261"/>
      <c r="BT383" s="261"/>
      <c r="BU383" s="261"/>
      <c r="BV383" s="261"/>
      <c r="CJ383" s="261"/>
      <c r="CO383" s="261"/>
      <c r="CP383" s="261"/>
      <c r="CQ383" s="261"/>
      <c r="CR383" s="261"/>
      <c r="CS383" s="261"/>
      <c r="CT383" s="261"/>
      <c r="CU383" s="261"/>
      <c r="CV383" s="261"/>
      <c r="CW383" s="261"/>
      <c r="CX383" s="261"/>
      <c r="CY383" s="261"/>
      <c r="CZ383" s="261"/>
      <c r="DA383" s="261"/>
      <c r="DB383" s="261"/>
      <c r="DC383" s="261"/>
      <c r="DD383" s="261"/>
      <c r="DE383" s="261"/>
      <c r="DF383" s="261"/>
      <c r="DG383" s="261"/>
      <c r="DH383" s="261"/>
      <c r="DI383" s="261"/>
      <c r="DJ383" s="261"/>
      <c r="DK383" s="261"/>
      <c r="DL383" s="261"/>
      <c r="DM383" s="261"/>
      <c r="DN383" s="261"/>
      <c r="DO383" s="261"/>
      <c r="DP383" s="261"/>
      <c r="DQ383" s="261"/>
      <c r="DR383" s="261"/>
      <c r="DS383" s="261"/>
      <c r="DY383" s="261"/>
      <c r="EC383" s="261"/>
      <c r="EP383" s="261"/>
    </row>
    <row r="384" spans="1:165">
      <c r="K384" s="261"/>
      <c r="L384" s="261"/>
      <c r="M384" s="261"/>
      <c r="N384" s="261"/>
      <c r="O384" s="261"/>
      <c r="P384" s="261"/>
      <c r="Q384" s="261"/>
      <c r="BR384" s="261"/>
      <c r="BS384" s="261"/>
      <c r="BT384" s="261"/>
      <c r="BU384" s="261"/>
      <c r="BV384" s="261"/>
      <c r="CJ384" s="261"/>
      <c r="CO384" s="261"/>
      <c r="CP384" s="261"/>
      <c r="CQ384" s="261"/>
      <c r="CR384" s="261"/>
      <c r="CS384" s="261"/>
      <c r="CT384" s="261"/>
      <c r="CU384" s="261"/>
      <c r="CV384" s="261"/>
      <c r="CW384" s="261"/>
      <c r="CX384" s="261"/>
      <c r="CY384" s="261"/>
      <c r="CZ384" s="261"/>
      <c r="DA384" s="261"/>
      <c r="DB384" s="261"/>
      <c r="DC384" s="261"/>
      <c r="DD384" s="261"/>
      <c r="DE384" s="261"/>
      <c r="DF384" s="261"/>
      <c r="DG384" s="261"/>
      <c r="DH384" s="261"/>
      <c r="DI384" s="261"/>
      <c r="DJ384" s="261"/>
      <c r="DK384" s="261"/>
      <c r="DL384" s="261"/>
      <c r="DM384" s="261"/>
      <c r="DN384" s="261"/>
      <c r="DO384" s="261"/>
      <c r="DP384" s="261"/>
      <c r="DQ384" s="261"/>
      <c r="DR384" s="261"/>
      <c r="DS384" s="261"/>
      <c r="DY384" s="261"/>
      <c r="EC384" s="261"/>
      <c r="EP384" s="261"/>
    </row>
    <row r="385" s="261" customFormat="1"/>
    <row r="386" s="261" customFormat="1"/>
    <row r="387" s="261" customFormat="1"/>
    <row r="388" s="261" customFormat="1"/>
    <row r="389" s="261" customFormat="1"/>
    <row r="390" s="261" customFormat="1"/>
    <row r="391" s="261" customFormat="1"/>
    <row r="392" s="261" customFormat="1"/>
    <row r="393" s="261" customFormat="1"/>
    <row r="394" s="261" customFormat="1"/>
    <row r="395" s="261" customFormat="1"/>
    <row r="396" s="261" customFormat="1"/>
    <row r="397" s="261" customFormat="1"/>
    <row r="398" s="261" customFormat="1"/>
    <row r="399" s="261" customFormat="1"/>
    <row r="400" s="261" customFormat="1"/>
    <row r="401" s="261" customFormat="1"/>
    <row r="402" s="261" customFormat="1"/>
    <row r="403" s="261" customFormat="1"/>
    <row r="404" s="261" customFormat="1"/>
    <row r="405" s="261" customFormat="1"/>
    <row r="406" s="261" customFormat="1"/>
    <row r="407" s="261" customFormat="1"/>
    <row r="408" s="261" customFormat="1"/>
    <row r="409" s="261" customFormat="1"/>
    <row r="410" s="261" customFormat="1"/>
    <row r="411" s="261" customFormat="1"/>
    <row r="412" s="261" customFormat="1"/>
    <row r="413" s="261" customFormat="1"/>
    <row r="414" s="261" customFormat="1"/>
    <row r="415" s="261" customFormat="1"/>
    <row r="416" s="261" customFormat="1"/>
    <row r="417" s="261" customFormat="1"/>
    <row r="418" s="261" customFormat="1"/>
    <row r="419" s="261" customFormat="1"/>
    <row r="420" s="261" customFormat="1"/>
    <row r="421" s="261" customFormat="1"/>
    <row r="422" s="261" customFormat="1"/>
    <row r="423" s="261" customFormat="1"/>
    <row r="424" s="261" customFormat="1"/>
    <row r="425" s="261" customFormat="1"/>
    <row r="426" s="261" customFormat="1"/>
    <row r="427" s="261" customFormat="1"/>
    <row r="428" s="261" customFormat="1"/>
    <row r="429" s="261" customFormat="1"/>
    <row r="430" s="261" customFormat="1"/>
    <row r="431" s="261" customFormat="1"/>
    <row r="432" s="261" customFormat="1"/>
    <row r="433" s="261" customFormat="1"/>
    <row r="434" s="261" customFormat="1"/>
    <row r="435" s="261" customFormat="1"/>
    <row r="436" s="261" customFormat="1"/>
    <row r="437" s="261" customFormat="1"/>
    <row r="438" s="261" customFormat="1"/>
    <row r="439" s="261" customFormat="1"/>
    <row r="440" s="261" customFormat="1"/>
    <row r="441" s="261" customFormat="1"/>
    <row r="442" s="261" customFormat="1"/>
    <row r="443" s="261" customFormat="1"/>
    <row r="444" s="261" customFormat="1"/>
    <row r="445" s="261" customFormat="1"/>
    <row r="446" s="261" customFormat="1"/>
    <row r="447" s="261" customFormat="1"/>
    <row r="448" s="261" customFormat="1"/>
    <row r="449" s="261" customFormat="1"/>
    <row r="450" s="261" customFormat="1"/>
    <row r="451" s="261" customFormat="1"/>
    <row r="452" s="261" customFormat="1"/>
    <row r="453" s="261" customFormat="1"/>
    <row r="454" s="261" customFormat="1"/>
    <row r="455" s="261" customFormat="1"/>
    <row r="456" s="261" customFormat="1"/>
    <row r="457" s="261" customFormat="1"/>
    <row r="458" s="261" customFormat="1"/>
    <row r="459" s="261" customFormat="1"/>
    <row r="460" s="261" customFormat="1"/>
    <row r="461" s="261" customFormat="1"/>
    <row r="462" s="261" customFormat="1"/>
    <row r="463" s="261" customFormat="1"/>
    <row r="464" s="261" customFormat="1"/>
    <row r="465" s="261" customFormat="1"/>
    <row r="466" s="261" customFormat="1"/>
    <row r="467" s="261" customFormat="1"/>
    <row r="468" s="261" customFormat="1"/>
    <row r="469" s="261" customFormat="1"/>
    <row r="470" s="261" customFormat="1"/>
    <row r="471" s="261" customFormat="1"/>
    <row r="472" s="261" customFormat="1"/>
    <row r="473" s="261" customFormat="1"/>
    <row r="474" s="261" customFormat="1"/>
    <row r="475" s="261" customFormat="1"/>
    <row r="476" s="261" customFormat="1"/>
    <row r="477" s="261" customFormat="1"/>
    <row r="478" s="261" customFormat="1"/>
    <row r="479" s="261" customFormat="1"/>
    <row r="480" s="261" customFormat="1"/>
    <row r="481" s="261" customFormat="1"/>
    <row r="482" s="261" customFormat="1"/>
    <row r="483" s="261" customFormat="1"/>
    <row r="484" s="261" customFormat="1"/>
    <row r="485" s="261" customFormat="1"/>
    <row r="486" s="261" customFormat="1"/>
    <row r="487" s="261" customFormat="1"/>
    <row r="488" s="261" customFormat="1"/>
    <row r="489" s="261" customFormat="1"/>
    <row r="490" s="261" customFormat="1"/>
    <row r="491" s="261" customFormat="1"/>
    <row r="492" s="261" customFormat="1"/>
    <row r="493" s="261" customFormat="1"/>
    <row r="494" s="261" customFormat="1"/>
    <row r="495" s="261" customFormat="1"/>
    <row r="496" s="261" customFormat="1"/>
    <row r="497" s="261" customFormat="1"/>
    <row r="498" s="261" customFormat="1"/>
    <row r="499" s="261" customFormat="1"/>
    <row r="500" s="261" customFormat="1"/>
    <row r="501" s="261" customFormat="1"/>
    <row r="502" s="261" customFormat="1"/>
    <row r="503" s="261" customFormat="1"/>
    <row r="504" s="261" customFormat="1"/>
    <row r="505" s="261" customFormat="1"/>
    <row r="506" s="261" customFormat="1"/>
    <row r="507" s="261" customFormat="1"/>
    <row r="508" s="261" customFormat="1"/>
    <row r="509" s="261" customFormat="1"/>
    <row r="510" s="261" customFormat="1"/>
    <row r="511" s="261" customFormat="1"/>
    <row r="512" s="261" customFormat="1"/>
    <row r="513" s="261" customFormat="1"/>
    <row r="514" s="261" customFormat="1"/>
    <row r="515" s="261" customFormat="1"/>
    <row r="516" s="261" customFormat="1"/>
    <row r="517" s="261" customFormat="1"/>
    <row r="518" s="261" customFormat="1"/>
    <row r="519" s="261" customFormat="1"/>
    <row r="520" s="261" customFormat="1"/>
    <row r="521" s="261" customFormat="1"/>
    <row r="522" s="261" customFormat="1"/>
    <row r="523" s="261" customFormat="1"/>
    <row r="524" s="261" customFormat="1"/>
    <row r="525" s="261" customFormat="1"/>
    <row r="526" s="261" customFormat="1"/>
    <row r="527" s="261" customFormat="1"/>
    <row r="528" s="261" customFormat="1"/>
    <row r="529" s="261" customFormat="1"/>
    <row r="530" s="261" customFormat="1"/>
    <row r="531" s="261" customFormat="1"/>
    <row r="532" s="261" customFormat="1"/>
    <row r="533" s="261" customFormat="1"/>
    <row r="534" s="261" customFormat="1"/>
    <row r="535" s="261" customFormat="1"/>
    <row r="536" s="261" customFormat="1"/>
    <row r="537" s="261" customFormat="1"/>
    <row r="538" s="261" customFormat="1"/>
    <row r="539" s="261" customFormat="1"/>
    <row r="540" s="261" customFormat="1"/>
    <row r="541" s="261" customFormat="1"/>
    <row r="542" s="261" customFormat="1"/>
    <row r="543" s="261" customFormat="1"/>
    <row r="544" s="261" customFormat="1"/>
    <row r="545" s="261" customFormat="1"/>
    <row r="546" s="261" customFormat="1"/>
    <row r="547" s="261" customFormat="1"/>
    <row r="548" s="261" customFormat="1"/>
    <row r="549" s="261" customFormat="1"/>
    <row r="550" s="261" customFormat="1"/>
    <row r="551" s="261" customFormat="1"/>
    <row r="552" s="261" customFormat="1"/>
    <row r="553" s="261" customFormat="1"/>
    <row r="554" s="261" customFormat="1"/>
    <row r="555" s="261" customFormat="1"/>
    <row r="556" s="261" customFormat="1"/>
    <row r="557" s="261" customFormat="1"/>
    <row r="558" s="261" customFormat="1"/>
    <row r="559" s="261" customFormat="1"/>
    <row r="560" s="261" customFormat="1"/>
    <row r="561" s="261" customFormat="1"/>
    <row r="562" s="261" customFormat="1"/>
    <row r="563" s="261" customFormat="1"/>
    <row r="564" s="261" customFormat="1"/>
    <row r="565" s="261" customFormat="1"/>
    <row r="566" s="261" customFormat="1"/>
    <row r="567" s="261" customFormat="1"/>
    <row r="568" s="261" customFormat="1"/>
    <row r="569" s="261" customFormat="1"/>
    <row r="570" s="261" customFormat="1"/>
    <row r="571" s="261" customFormat="1"/>
    <row r="572" s="261" customFormat="1"/>
    <row r="573" s="261" customFormat="1"/>
    <row r="574" s="261" customFormat="1"/>
    <row r="575" s="261" customFormat="1"/>
    <row r="576" s="261" customFormat="1"/>
    <row r="577" s="261" customFormat="1"/>
    <row r="578" s="261" customFormat="1"/>
    <row r="579" s="261" customFormat="1"/>
    <row r="580" s="261" customFormat="1"/>
    <row r="581" s="261" customFormat="1"/>
    <row r="582" s="261" customFormat="1"/>
    <row r="583" s="261" customFormat="1"/>
    <row r="584" s="261" customFormat="1"/>
    <row r="585" s="261" customFormat="1"/>
    <row r="586" s="261" customFormat="1"/>
    <row r="587" s="261" customFormat="1"/>
    <row r="588" s="261" customFormat="1"/>
    <row r="589" s="261" customFormat="1"/>
    <row r="590" s="261" customFormat="1"/>
    <row r="591" s="261" customFormat="1"/>
    <row r="592" s="261" customFormat="1"/>
    <row r="593" s="261" customFormat="1"/>
    <row r="594" s="261" customFormat="1"/>
    <row r="595" s="261" customFormat="1"/>
    <row r="596" s="261" customFormat="1"/>
    <row r="597" s="261" customFormat="1"/>
    <row r="598" s="261" customFormat="1"/>
    <row r="599" s="261" customFormat="1"/>
    <row r="600" s="261" customFormat="1"/>
    <row r="601" s="261" customFormat="1"/>
    <row r="602" s="261" customFormat="1"/>
    <row r="603" s="261" customFormat="1"/>
    <row r="604" s="261" customFormat="1"/>
    <row r="605" s="261" customFormat="1"/>
    <row r="606" s="261" customFormat="1"/>
    <row r="607" s="261" customFormat="1"/>
    <row r="608" s="261" customFormat="1"/>
    <row r="609" s="261" customFormat="1"/>
    <row r="610" s="261" customFormat="1"/>
    <row r="611" s="261" customFormat="1"/>
    <row r="612" s="261" customFormat="1"/>
    <row r="613" s="261" customFormat="1"/>
    <row r="614" s="261" customFormat="1"/>
    <row r="615" s="261" customFormat="1"/>
    <row r="616" s="261" customFormat="1"/>
    <row r="617" s="261" customFormat="1"/>
    <row r="618" s="261" customFormat="1"/>
    <row r="619" s="261" customFormat="1"/>
    <row r="620" s="261" customFormat="1"/>
    <row r="621" s="261" customFormat="1"/>
    <row r="622" s="261" customFormat="1"/>
    <row r="623" s="261" customFormat="1"/>
    <row r="624" s="261" customFormat="1"/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topLeftCell="C13" zoomScale="95" zoomScaleNormal="95" workbookViewId="0">
      <selection activeCell="G28" sqref="G2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0" t="s">
        <v>1078</v>
      </c>
      <c r="C1" s="1018"/>
      <c r="D1" s="931"/>
      <c r="E1" s="931"/>
      <c r="F1" s="1128" t="s">
        <v>871</v>
      </c>
      <c r="G1" s="1129">
        <f ca="1">LnkTXTIRTEco</f>
        <v>7.1900000000000006E-2</v>
      </c>
    </row>
    <row r="2" spans="2:19" ht="23.25" customHeight="1">
      <c r="B2" s="136" t="str">
        <f>CAPA!C9</f>
        <v>Certrel</v>
      </c>
      <c r="C2" s="70"/>
      <c r="D2" s="70"/>
      <c r="E2" s="70"/>
      <c r="F2" s="120" t="s">
        <v>875</v>
      </c>
      <c r="G2" s="121">
        <f ca="1">LnkTXTIRTTotal</f>
        <v>-3.0800000000000001E-2</v>
      </c>
    </row>
    <row r="3" spans="2:19" ht="16.5">
      <c r="B3" s="71" t="s">
        <v>682</v>
      </c>
      <c r="K3" s="71" t="s">
        <v>1079</v>
      </c>
      <c r="P3" s="9" t="s">
        <v>1080</v>
      </c>
    </row>
    <row r="4" spans="2:19">
      <c r="B4" s="1176" t="s">
        <v>776</v>
      </c>
      <c r="C4" s="1176" t="s">
        <v>693</v>
      </c>
      <c r="D4" s="1176" t="s">
        <v>694</v>
      </c>
      <c r="G4" s="68"/>
      <c r="H4" s="124"/>
      <c r="K4" s="1176" t="s">
        <v>893</v>
      </c>
      <c r="L4" s="1176" t="s">
        <v>693</v>
      </c>
      <c r="M4" s="1176" t="s">
        <v>896</v>
      </c>
      <c r="P4" s="68" t="s">
        <v>1081</v>
      </c>
    </row>
    <row r="5" spans="2:19">
      <c r="B5" s="1177" t="s">
        <v>1082</v>
      </c>
      <c r="C5" s="1178">
        <f ca="1">C6+C9</f>
        <v>49236.087004284302</v>
      </c>
      <c r="D5" s="1178">
        <f ca="1">SUM(D6,D9)</f>
        <v>49976.929000000004</v>
      </c>
      <c r="G5" s="68"/>
      <c r="K5" s="68" t="s">
        <v>779</v>
      </c>
      <c r="L5" s="92">
        <f ca="1">M5</f>
        <v>44819.61</v>
      </c>
      <c r="M5" s="139">
        <f ca="1">FornecimentoE</f>
        <v>44819.61</v>
      </c>
      <c r="P5" s="68" t="s">
        <v>1083</v>
      </c>
    </row>
    <row r="6" spans="2:19">
      <c r="B6" s="1179" t="s">
        <v>1084</v>
      </c>
      <c r="C6" s="1180">
        <f ca="1">LnkTXTEV</f>
        <v>44819.61</v>
      </c>
      <c r="D6" s="1180">
        <f ca="1">SUM(D7:D8)</f>
        <v>44819.61</v>
      </c>
      <c r="F6" s="1447">
        <f ca="1">C24/LnkTXTEV-1</f>
        <v>0.11506835958635087</v>
      </c>
      <c r="G6" s="68"/>
      <c r="K6" s="68" t="s">
        <v>788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1085</v>
      </c>
    </row>
    <row r="7" spans="2:19">
      <c r="B7" s="143" t="s">
        <v>779</v>
      </c>
      <c r="C7" s="144">
        <f ca="1">LnkTXTF</f>
        <v>44819.61</v>
      </c>
      <c r="D7" s="144">
        <f ca="1">M5</f>
        <v>44819.61</v>
      </c>
      <c r="G7" s="68"/>
      <c r="K7" s="68" t="s">
        <v>1086</v>
      </c>
      <c r="L7" s="92">
        <f t="shared" ca="1" si="0"/>
        <v>0</v>
      </c>
      <c r="M7" s="139">
        <f ca="1">LivreE</f>
        <v>0</v>
      </c>
      <c r="P7" s="68" t="s">
        <v>1087</v>
      </c>
    </row>
    <row r="8" spans="2:19">
      <c r="B8" s="143" t="s">
        <v>788</v>
      </c>
      <c r="C8" s="144">
        <f ca="1">D8</f>
        <v>0</v>
      </c>
      <c r="D8" s="144">
        <f ca="1">M6</f>
        <v>0</v>
      </c>
      <c r="G8" s="68"/>
      <c r="K8" s="68" t="s">
        <v>876</v>
      </c>
      <c r="L8" s="92">
        <f t="shared" ca="1" si="0"/>
        <v>0</v>
      </c>
      <c r="M8" s="139">
        <f ca="1">LivreE_A1</f>
        <v>0</v>
      </c>
      <c r="P8" s="68" t="s">
        <v>1088</v>
      </c>
    </row>
    <row r="9" spans="2:19">
      <c r="B9" s="1179" t="s">
        <v>1089</v>
      </c>
      <c r="C9" s="1180">
        <f ca="1">SUM(C10:C13)</f>
        <v>4416.477004284302</v>
      </c>
      <c r="D9" s="1180">
        <f ca="1">SUM(D10:D13)</f>
        <v>5157.3189999999995</v>
      </c>
      <c r="G9" s="68"/>
      <c r="K9" s="784" t="s">
        <v>1090</v>
      </c>
      <c r="L9" s="1552">
        <f t="shared" ca="1" si="0"/>
        <v>14916.766000000001</v>
      </c>
      <c r="M9" s="1181">
        <f ca="1">FornecimentoE_BT</f>
        <v>14916.766000000001</v>
      </c>
      <c r="P9" s="68" t="s">
        <v>1091</v>
      </c>
    </row>
    <row r="10" spans="2:19">
      <c r="B10" s="1188" t="s">
        <v>1107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1113</v>
      </c>
      <c r="C11" s="144">
        <f ca="1">L17</f>
        <v>4416.477004284302</v>
      </c>
      <c r="D11" s="144">
        <f ca="1">N17</f>
        <v>5157.3189999999995</v>
      </c>
      <c r="G11" s="68"/>
      <c r="K11" s="71" t="s">
        <v>1093</v>
      </c>
      <c r="L11" s="71"/>
      <c r="M11" s="125"/>
      <c r="P11" s="68" t="s">
        <v>1094</v>
      </c>
      <c r="Q11" s="492">
        <f ca="1">M20/(D6+M20)</f>
        <v>0.10319399577352981</v>
      </c>
      <c r="R11" s="69">
        <f ca="1">Q11*($M$24+LnkTXTGPM)</f>
        <v>0</v>
      </c>
    </row>
    <row r="12" spans="2:19">
      <c r="B12" s="143" t="s">
        <v>1092</v>
      </c>
      <c r="C12" s="144">
        <f ca="1">L18</f>
        <v>0</v>
      </c>
      <c r="D12" s="144">
        <f ca="1">N18</f>
        <v>0</v>
      </c>
      <c r="E12" s="72"/>
      <c r="G12" s="72"/>
      <c r="K12" s="145" t="s">
        <v>776</v>
      </c>
      <c r="L12" s="145" t="s">
        <v>693</v>
      </c>
      <c r="M12" s="1182" t="s">
        <v>1096</v>
      </c>
      <c r="N12" s="1183" t="s">
        <v>29</v>
      </c>
      <c r="P12" s="68" t="s">
        <v>1097</v>
      </c>
      <c r="Q12" s="393">
        <v>0.1389</v>
      </c>
      <c r="R12" s="69"/>
      <c r="S12" s="140"/>
    </row>
    <row r="13" spans="2:19">
      <c r="B13" s="143" t="s">
        <v>1095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1099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1100</v>
      </c>
      <c r="Q13" s="492">
        <f ca="1">IF(Q11&lt;Q12,Q11,(IF(Q11=0,0,Q11*0.75+Q12*0.25)))</f>
        <v>0.10319399577352981</v>
      </c>
      <c r="R13" s="69">
        <f ca="1">($M$5+$M$6-$M$8)*Q13/(1-Q13)</f>
        <v>5157.3189999999986</v>
      </c>
    </row>
    <row r="14" spans="2:19">
      <c r="B14" s="1184" t="s">
        <v>1098</v>
      </c>
      <c r="C14" s="1185">
        <f>VLOOKUP("custo Médio",DRA_CM_Perdas[#All],3,FALSE)</f>
        <v>118.830004314878</v>
      </c>
      <c r="D14" s="1185">
        <f ca="1">IFERROR(E24,0)</f>
        <v>123.60305642674305</v>
      </c>
      <c r="E14" s="127"/>
      <c r="F14" s="127"/>
      <c r="G14" s="127"/>
      <c r="K14" s="68" t="s">
        <v>1102</v>
      </c>
      <c r="L14" s="393">
        <f>VLOOKUP("PERDAS TÉCNICAS",DRA_CM_Perdas[#All],3,FALSE)</f>
        <v>8.9700000000000002E-2</v>
      </c>
      <c r="M14" s="393">
        <f>IF(CAPA!H29=0,CAPA!K34,CAPA!H29)</f>
        <v>0.10929999999999999</v>
      </c>
      <c r="N14" s="393">
        <f ca="1">IFERROR(N17/((M5+M6-M8+N16)+N17),0)</f>
        <v>0.10319399577352981</v>
      </c>
      <c r="P14" s="68" t="s">
        <v>1103</v>
      </c>
      <c r="Q14" s="492">
        <f ca="1">(M17+M16)/(M16+M17+M5+M6)</f>
        <v>0.10929999999999999</v>
      </c>
      <c r="R14" s="69">
        <f ca="1">IF(CAPA!H33="",(M5+M6-M8)/(1-M14)*M14,CAPA!H33)+IF(CAPA!H34="",M13*M9,CAPA!H34)</f>
        <v>5499.9251970360383</v>
      </c>
    </row>
    <row r="15" spans="2:19">
      <c r="B15" s="1186" t="s">
        <v>1101</v>
      </c>
      <c r="C15" s="1187">
        <f ca="1">C14*C5</f>
        <v>5850724.4311668118</v>
      </c>
      <c r="D15" s="1187">
        <f ca="1">D14*D5</f>
        <v>6177301.1752223317</v>
      </c>
      <c r="E15" s="79"/>
      <c r="F15" s="72"/>
      <c r="G15" s="126"/>
      <c r="K15" s="784" t="s">
        <v>1104</v>
      </c>
      <c r="L15" s="1729">
        <f>VLOOKUP("PERDAS NA RB (sobre as perdas na D)",DRA_CM_Perdas[#All],3,FALSE)</f>
        <v>0</v>
      </c>
      <c r="M15" s="1448">
        <f>IF(CAPA!H31=0,0,CAPA!H31)</f>
        <v>0</v>
      </c>
      <c r="N15" s="1553">
        <f ca="1">IFERROR(M22/(M5+M6+M23+N17+N16),0)</f>
        <v>0</v>
      </c>
      <c r="P15" s="68" t="s">
        <v>1105</v>
      </c>
      <c r="Q15" s="79">
        <f ca="1">IF(Q14&lt;Q13,Q14,Q13)</f>
        <v>0.10319399577352981</v>
      </c>
      <c r="R15" s="69">
        <f ca="1">IF(R14&lt;R13,R14,R13)</f>
        <v>5157.3189999999986</v>
      </c>
      <c r="S15" s="79">
        <f ca="1">R15/(M5+R15)</f>
        <v>0.10319399577352981</v>
      </c>
    </row>
    <row r="16" spans="2:19">
      <c r="K16" s="1188" t="s">
        <v>1107</v>
      </c>
      <c r="L16" s="1188">
        <f ca="1">L13*L9</f>
        <v>0</v>
      </c>
      <c r="M16" s="1188">
        <f ca="1">IF(CAPA!H34="",M13*M9,CAPA!H34)</f>
        <v>0</v>
      </c>
      <c r="N16" s="465">
        <f ca="1">IF($M$21&lt;$M$20,M16,($M$20/$M$21)*M16)</f>
        <v>0</v>
      </c>
      <c r="P16" s="140" t="s">
        <v>1108</v>
      </c>
      <c r="Q16" s="79">
        <f ca="1">IF(Q15&gt;Q12,Q12,Q15)</f>
        <v>0.10319399577352981</v>
      </c>
      <c r="R16" s="69">
        <f ca="1">($M$5+$M$6-$M$8+R15)*Q16</f>
        <v>5157.3189999999986</v>
      </c>
    </row>
    <row r="17" spans="1:22">
      <c r="B17" s="128" t="s">
        <v>1106</v>
      </c>
      <c r="C17" s="129"/>
      <c r="D17" s="130"/>
      <c r="E17" s="130"/>
      <c r="F17" s="130"/>
      <c r="K17" s="139" t="s">
        <v>1113</v>
      </c>
      <c r="L17" s="139">
        <f ca="1">(L5+L6-L8+L16)/(1-L14)*L14</f>
        <v>4416.477004284302</v>
      </c>
      <c r="M17" s="139">
        <f ca="1">IF(CAPA!H33="",(M5+M6-M8+M16)/(1-M14)*M14,CAPA!H33)</f>
        <v>5499.9251970360383</v>
      </c>
      <c r="N17" s="465">
        <f ca="1">IF($M$21&lt;$M$20,M17,($M$20/$M$21)*M17)+M23</f>
        <v>5157.3189999999995</v>
      </c>
      <c r="O17" s="140"/>
      <c r="P17" s="68" t="s">
        <v>1114</v>
      </c>
      <c r="Q17" s="393">
        <f ca="1">Q15-Q16</f>
        <v>0</v>
      </c>
      <c r="R17" s="69">
        <f ca="1">R15-R16</f>
        <v>0</v>
      </c>
    </row>
    <row r="18" spans="1:22">
      <c r="B18" s="1176" t="s">
        <v>1109</v>
      </c>
      <c r="C18" s="1176" t="s">
        <v>1110</v>
      </c>
      <c r="D18" s="1176"/>
      <c r="E18" s="1176" t="s">
        <v>1111</v>
      </c>
      <c r="F18" s="1176" t="s">
        <v>1112</v>
      </c>
      <c r="G18" s="763"/>
      <c r="H18" s="765"/>
      <c r="I18" s="132"/>
      <c r="K18" s="139" t="s">
        <v>1092</v>
      </c>
      <c r="L18" s="465">
        <f ca="1">SUM(L16:L17)*L15</f>
        <v>0</v>
      </c>
      <c r="M18" s="465"/>
      <c r="N18" s="1474">
        <f ca="1">(N16+N17)*N15</f>
        <v>0</v>
      </c>
      <c r="P18" s="68" t="s">
        <v>1115</v>
      </c>
      <c r="Q18" s="79">
        <f ca="1">R17/M9</f>
        <v>0</v>
      </c>
    </row>
    <row r="19" spans="1:22">
      <c r="B19" s="78" t="s">
        <v>215</v>
      </c>
      <c r="C19" s="762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4"/>
      <c r="H19" s="765"/>
      <c r="K19" s="1181" t="s">
        <v>1095</v>
      </c>
      <c r="L19" s="1449">
        <f ca="1">(L5+L6)*L15</f>
        <v>0</v>
      </c>
      <c r="M19" s="1449"/>
      <c r="N19" s="1475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762.52146735008182</v>
      </c>
      <c r="D20" s="88"/>
      <c r="E20" s="88">
        <v>0</v>
      </c>
      <c r="F20" s="77">
        <v>0</v>
      </c>
      <c r="G20" s="764"/>
      <c r="H20" s="765"/>
      <c r="J20" s="132"/>
      <c r="K20" s="139" t="s">
        <v>1116</v>
      </c>
      <c r="L20" s="139"/>
      <c r="M20" s="139">
        <f>'Perdas de Energia'!I18</f>
        <v>5157.3189999999995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0</v>
      </c>
      <c r="F21" s="77">
        <f ca="1">E21*C21</f>
        <v>0</v>
      </c>
      <c r="G21" s="764"/>
      <c r="H21" s="765"/>
      <c r="K21" s="1181" t="s">
        <v>1117</v>
      </c>
      <c r="L21" s="1181"/>
      <c r="M21" s="1181">
        <f ca="1">M16+M17</f>
        <v>5499.9251970360383</v>
      </c>
      <c r="N21" s="1449"/>
    </row>
    <row r="22" spans="1:22">
      <c r="B22" s="78" t="str">
        <f>B64</f>
        <v>CCGF</v>
      </c>
      <c r="C22" s="251">
        <f ca="1">(C64+C65)*N30</f>
        <v>0</v>
      </c>
      <c r="D22" s="88"/>
      <c r="E22" s="88">
        <f>IFERROR((F64+F65)/(C64+C65),0)</f>
        <v>0</v>
      </c>
      <c r="F22" s="77">
        <f ca="1">E22*C22</f>
        <v>0</v>
      </c>
      <c r="G22" s="764"/>
      <c r="H22" s="765"/>
      <c r="K22" s="68" t="s">
        <v>2049</v>
      </c>
      <c r="M22" s="72">
        <f>SUMIFS(TabPerdaDIT[Valor],TabPerdaDIT[Dados de perda],"Perdas RB")</f>
        <v>0</v>
      </c>
    </row>
    <row r="23" spans="1:22">
      <c r="B23" s="78" t="s">
        <v>1118</v>
      </c>
      <c r="C23" s="251">
        <f ca="1">IF(J60=0,E35,(J48+J60))*N30</f>
        <v>49214.40753264993</v>
      </c>
      <c r="D23" s="88"/>
      <c r="E23" s="88">
        <f ca="1">IF(K60=0,H35,(N48+N60)/(M48+M60))</f>
        <v>125.51814570000002</v>
      </c>
      <c r="F23" s="77">
        <f ca="1">E23*C23</f>
        <v>6177301.1752223326</v>
      </c>
      <c r="G23" s="764"/>
      <c r="H23" s="765"/>
      <c r="K23" s="68" t="s">
        <v>2126</v>
      </c>
      <c r="M23" s="72">
        <f>SUMIFS(TabPerdaDIT[Valor],TabPerdaDIT[Dados de perda],"Perdas DITs")</f>
        <v>0</v>
      </c>
    </row>
    <row r="24" spans="1:22" ht="27.75" customHeight="1">
      <c r="B24" s="1189" t="s">
        <v>1119</v>
      </c>
      <c r="C24" s="1190">
        <f ca="1">SUM(C19:C23)</f>
        <v>49976.929000000011</v>
      </c>
      <c r="D24" s="1191"/>
      <c r="E24" s="1774">
        <f ca="1">IF(SUM(C19:C23)=0,0,SUM(F19:F23)/SUM(C19:C23))</f>
        <v>123.60305642674305</v>
      </c>
      <c r="F24" s="1192">
        <f ca="1">SUM(F19:F23)</f>
        <v>6177301.1752223326</v>
      </c>
      <c r="G24" s="764"/>
      <c r="H24" s="807"/>
      <c r="J24" s="72"/>
      <c r="K24" s="1574"/>
      <c r="L24" s="1574"/>
      <c r="M24" s="1193"/>
    </row>
    <row r="25" spans="1:22">
      <c r="E25" s="1773">
        <v>123.60299999999999</v>
      </c>
      <c r="F25" s="133"/>
      <c r="G25" s="126"/>
      <c r="H25" s="72"/>
      <c r="I25" s="72"/>
      <c r="J25" s="72"/>
      <c r="K25" s="100"/>
      <c r="L25" s="100"/>
      <c r="M25" s="287"/>
      <c r="N25" s="1575"/>
    </row>
    <row r="26" spans="1:22">
      <c r="A26" s="74"/>
      <c r="B26" s="838" t="s">
        <v>2048</v>
      </c>
      <c r="E26" s="1775">
        <f ca="1">E24-E25</f>
        <v>5.6426743057613749E-5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4" t="s">
        <v>27</v>
      </c>
      <c r="C27" s="1194" t="s">
        <v>873</v>
      </c>
      <c r="D27" s="1194" t="s">
        <v>1120</v>
      </c>
      <c r="E27" s="1194" t="s">
        <v>896</v>
      </c>
      <c r="F27" s="1194" t="s">
        <v>1121</v>
      </c>
      <c r="G27" s="1195" t="s">
        <v>1122</v>
      </c>
      <c r="H27" s="1195" t="s">
        <v>1123</v>
      </c>
      <c r="I27" s="1195" t="s">
        <v>1124</v>
      </c>
      <c r="K27" s="128"/>
      <c r="L27" s="1576"/>
      <c r="M27" s="100"/>
      <c r="N27" s="100"/>
    </row>
    <row r="28" spans="1:22">
      <c r="A28" s="74">
        <v>5697</v>
      </c>
      <c r="B28" s="512" t="s">
        <v>2199</v>
      </c>
      <c r="C28" s="512" t="s">
        <v>2034</v>
      </c>
      <c r="D28" s="512">
        <f>IF(B28="","",SUMIFS(Faturas!V:V,Faturas!U:U,"Consumo*",Faturas!S:S,Energia!C28,Faturas!R:R,Energia!B28))</f>
        <v>49207447</v>
      </c>
      <c r="E28" s="512">
        <f t="shared" ref="E28:E34" si="1">IF(B28="","",D28/1000)</f>
        <v>49207.447</v>
      </c>
      <c r="F28" s="600">
        <v>0.55957000000000001</v>
      </c>
      <c r="G28" s="513">
        <f>IFERROR(VLOOKUP(CONCATENATE(A28,A78),BD!$H$43:$S$59,12,FALSE),"")</f>
        <v>284.99</v>
      </c>
      <c r="H28" s="513">
        <f t="shared" ref="H28:H34" si="2">IF(B28="","",IFERROR(G28*(1-F28),0))</f>
        <v>125.51814570000001</v>
      </c>
      <c r="I28" s="511">
        <f>SUMIFS(DescontoEnergia[Desconto],DescontoEnergia[idSupridora],Energia!A28,DescontoEnergia[Nível],Energia!C28)</f>
        <v>0.61457499999999998</v>
      </c>
      <c r="K28" s="71" t="s">
        <v>1125</v>
      </c>
      <c r="P28" s="68" t="s">
        <v>896</v>
      </c>
      <c r="Q28" s="68" t="s">
        <v>1121</v>
      </c>
      <c r="R28" s="68" t="s">
        <v>1122</v>
      </c>
      <c r="S28" s="68" t="s">
        <v>1123</v>
      </c>
      <c r="T28" s="68" t="s">
        <v>1124</v>
      </c>
    </row>
    <row r="29" spans="1:22" ht="16.5">
      <c r="A29" s="74"/>
      <c r="B29" s="512"/>
      <c r="C29" s="512"/>
      <c r="D29" s="512" t="str">
        <f>IF(B29="","",SUMIFS(Faturas!V:V,Faturas!U:U,"Consumo*",Faturas!S:S,Energia!C29,Faturas!R:R,Energia!B29))</f>
        <v/>
      </c>
      <c r="E29" s="512" t="str">
        <f t="shared" si="1"/>
        <v/>
      </c>
      <c r="F29" s="600">
        <f t="shared" ref="F29:F32" si="3">I29</f>
        <v>0</v>
      </c>
      <c r="G29" s="513" t="str">
        <f>IFERROR(VLOOKUP(CONCATENATE(A29,A79),BD!$H$43:$S$59,12,FALSE),"")</f>
        <v/>
      </c>
      <c r="H29" s="513" t="str">
        <f t="shared" si="2"/>
        <v/>
      </c>
      <c r="I29" s="511">
        <f>SUMIFS(DescontoEnergia[Desconto],DescontoEnergia[idSupridora],Energia!A29,DescontoEnergia[Nível],Energia!C29)</f>
        <v>0</v>
      </c>
      <c r="K29" s="1196" t="s">
        <v>22</v>
      </c>
      <c r="L29" s="1197" t="s">
        <v>1126</v>
      </c>
      <c r="M29" s="1197" t="s">
        <v>1127</v>
      </c>
      <c r="N29" s="1198" t="s">
        <v>1128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1129</v>
      </c>
      <c r="L30" s="140">
        <f>IF(J60=0,E35,(J48+J60))+C63+C64+C65+C70</f>
        <v>49207.447</v>
      </c>
      <c r="M30" s="92">
        <f ca="1">LnkTXTER-LnkTXTProinfa</f>
        <v>49214.407532649922</v>
      </c>
      <c r="N30" s="210">
        <f ca="1">M30/L30</f>
        <v>1.0001414528302988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2"/>
      <c r="L31" s="794"/>
      <c r="M31" s="793"/>
      <c r="N31" s="795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03"/>
      <c r="L32" s="1803"/>
      <c r="M32" s="796"/>
      <c r="N32" s="796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7"/>
      <c r="L33" s="798"/>
      <c r="M33" s="796"/>
      <c r="N33" s="794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54" t="s">
        <v>2159</v>
      </c>
      <c r="L34" s="1555"/>
      <c r="M34" s="748"/>
      <c r="N34" s="100"/>
      <c r="O34" s="128"/>
      <c r="V34" s="140" t="e">
        <f ca="1">V32+V33</f>
        <v>#VALUE!</v>
      </c>
    </row>
    <row r="35" spans="1:22" ht="14.25" customHeight="1">
      <c r="A35" s="74"/>
      <c r="B35" s="730"/>
      <c r="C35" s="731"/>
      <c r="D35" s="732">
        <f>SUM(D28:D34)</f>
        <v>49207447</v>
      </c>
      <c r="E35" s="732">
        <f>SUM(E28:E34)</f>
        <v>49207.447</v>
      </c>
      <c r="F35" s="729"/>
      <c r="G35" s="725">
        <f>IFERROR(SUMPRODUCT(G28:G34,E28:E34)/SUM(E28:E34),0)</f>
        <v>284.99</v>
      </c>
      <c r="H35" s="726">
        <f>IFERROR(SUMPRODUCT(H28:H34,E28:E34)/SUM(E28:E34),0)</f>
        <v>125.51814570000002</v>
      </c>
      <c r="I35" s="725"/>
      <c r="K35" s="1556" t="s">
        <v>2160</v>
      </c>
      <c r="L35" s="1557">
        <f ca="1">(L16+L17+L18+L19)/LnkTXTEV</f>
        <v>9.8538943205536633E-2</v>
      </c>
      <c r="M35" s="748"/>
      <c r="N35" s="749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8" t="s">
        <v>2045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8" t="s">
        <v>2046</v>
      </c>
      <c r="C39" s="69"/>
      <c r="G39" s="135"/>
      <c r="O39" s="128"/>
    </row>
    <row r="40" spans="1:22" ht="24" customHeight="1">
      <c r="A40" s="74"/>
      <c r="B40" s="1199" t="s">
        <v>776</v>
      </c>
      <c r="C40" s="1200" t="s">
        <v>1130</v>
      </c>
      <c r="D40" s="1201"/>
      <c r="E40" s="1200" t="s">
        <v>62</v>
      </c>
      <c r="F40" s="1200" t="s">
        <v>61</v>
      </c>
      <c r="G40" s="1200" t="s">
        <v>1131</v>
      </c>
      <c r="H40" s="1200" t="s">
        <v>1132</v>
      </c>
      <c r="I40" s="1200" t="s">
        <v>1133</v>
      </c>
      <c r="J40" s="1200" t="s">
        <v>896</v>
      </c>
      <c r="K40" s="1200" t="s">
        <v>1134</v>
      </c>
      <c r="L40" s="1200" t="s">
        <v>1135</v>
      </c>
      <c r="M40" s="1200" t="s">
        <v>1136</v>
      </c>
      <c r="N40" s="1200" t="s">
        <v>1137</v>
      </c>
      <c r="O40" s="128"/>
    </row>
    <row r="41" spans="1:22" ht="24" customHeight="1">
      <c r="A41" s="74"/>
      <c r="B41" s="789"/>
      <c r="C41" s="789"/>
      <c r="D41" s="789"/>
      <c r="E41" s="1735"/>
      <c r="F41" s="1736"/>
      <c r="G41" s="1737"/>
      <c r="H41" s="1738"/>
      <c r="I41" s="1735"/>
      <c r="J41" s="1731"/>
      <c r="K41" s="1733">
        <f>H7</f>
        <v>0</v>
      </c>
      <c r="L41" s="790">
        <f>IFERROR(J41*K41,0)</f>
        <v>0</v>
      </c>
      <c r="M41" s="799">
        <f t="shared" ref="M41:M47" ca="1" si="7">IFERROR(J41*$N$30,0)</f>
        <v>0</v>
      </c>
      <c r="N41" s="790">
        <f ca="1">IFERROR(K41*M41,0)</f>
        <v>0</v>
      </c>
      <c r="O41" s="128"/>
    </row>
    <row r="42" spans="1:22" ht="24" customHeight="1">
      <c r="A42" s="74"/>
      <c r="B42" s="789"/>
      <c r="C42" s="789"/>
      <c r="D42" s="789"/>
      <c r="E42" s="1735"/>
      <c r="F42" s="1736"/>
      <c r="G42" s="1737"/>
      <c r="H42" s="1738"/>
      <c r="I42" s="1739"/>
      <c r="J42" s="1731"/>
      <c r="K42" s="1733">
        <f>H8</f>
        <v>0</v>
      </c>
      <c r="L42" s="790">
        <f>IFERROR(J42*K42,0)</f>
        <v>0</v>
      </c>
      <c r="M42" s="799">
        <f t="shared" ca="1" si="7"/>
        <v>0</v>
      </c>
      <c r="N42" s="790">
        <f ca="1">IFERROR(K42*M42,0)</f>
        <v>0</v>
      </c>
      <c r="O42" s="128"/>
    </row>
    <row r="43" spans="1:22" ht="24" customHeight="1">
      <c r="A43" s="74"/>
      <c r="B43" s="789"/>
      <c r="C43" s="789"/>
      <c r="D43" s="789" t="s">
        <v>114</v>
      </c>
      <c r="E43" s="1735" t="str">
        <f>IF(B43="","",D43/1000)</f>
        <v/>
      </c>
      <c r="F43" s="1736" t="str">
        <f>IF(B43="","",I43)</f>
        <v/>
      </c>
      <c r="G43" s="1737" t="s">
        <v>114</v>
      </c>
      <c r="H43" s="1738">
        <v>0</v>
      </c>
      <c r="I43" s="1735">
        <v>0</v>
      </c>
      <c r="J43" s="1731"/>
      <c r="K43" s="1733">
        <f>IFERROR(E43*(VLOOKUP(EDATE(G43,-1),Índices!#REF!,3,FALSE)/VLOOKUP(EDATE(F43,-1),Índices!#REF!,3,FALSE)),0)</f>
        <v>0</v>
      </c>
      <c r="L43" s="790">
        <f t="shared" ref="L43:L47" si="8">J43*K43</f>
        <v>0</v>
      </c>
      <c r="M43" s="799">
        <f t="shared" ca="1" si="7"/>
        <v>0</v>
      </c>
      <c r="N43" s="790">
        <f t="shared" ref="N43:N47" ca="1" si="9">K43*M43</f>
        <v>0</v>
      </c>
      <c r="O43" s="128"/>
    </row>
    <row r="44" spans="1:22" ht="24" customHeight="1">
      <c r="A44" s="74"/>
      <c r="B44" s="789"/>
      <c r="C44" s="789"/>
      <c r="D44" s="789" t="s">
        <v>114</v>
      </c>
      <c r="E44" s="1735" t="str">
        <f>IF(B44="","",D44/1000)</f>
        <v/>
      </c>
      <c r="F44" s="1736" t="str">
        <f>IF(B44="","",I44)</f>
        <v/>
      </c>
      <c r="G44" s="1737" t="s">
        <v>114</v>
      </c>
      <c r="H44" s="1738">
        <v>0</v>
      </c>
      <c r="I44" s="1735">
        <v>0</v>
      </c>
      <c r="J44" s="1731"/>
      <c r="K44" s="1733">
        <f>IFERROR(E44*(VLOOKUP(EDATE(G44,-1),Índices!#REF!,3,FALSE)/VLOOKUP(EDATE(F44,-1),Índices!#REF!,3,FALSE)),0)</f>
        <v>0</v>
      </c>
      <c r="L44" s="790">
        <f t="shared" si="8"/>
        <v>0</v>
      </c>
      <c r="M44" s="799">
        <f t="shared" ca="1" si="7"/>
        <v>0</v>
      </c>
      <c r="N44" s="790">
        <f ca="1">K44*M44</f>
        <v>0</v>
      </c>
      <c r="O44" s="128"/>
    </row>
    <row r="45" spans="1:22" ht="24" customHeight="1">
      <c r="A45" s="74"/>
      <c r="B45" s="789"/>
      <c r="C45" s="789"/>
      <c r="D45" s="789" t="s">
        <v>114</v>
      </c>
      <c r="E45" s="1735" t="str">
        <f>IF(B45="","",D45/1000)</f>
        <v/>
      </c>
      <c r="F45" s="1736" t="str">
        <f>IF(B45="","",I45)</f>
        <v/>
      </c>
      <c r="G45" s="1737" t="s">
        <v>114</v>
      </c>
      <c r="H45" s="1738">
        <v>0</v>
      </c>
      <c r="I45" s="1735">
        <v>0</v>
      </c>
      <c r="J45" s="1731"/>
      <c r="K45" s="1733">
        <f>IFERROR(E45*(VLOOKUP(EDATE(G45,-1),Índices!#REF!,3,FALSE)/VLOOKUP(EDATE(F45,-1),Índices!#REF!,3,FALSE)),0)</f>
        <v>0</v>
      </c>
      <c r="L45" s="790">
        <f t="shared" si="8"/>
        <v>0</v>
      </c>
      <c r="M45" s="799">
        <f t="shared" ca="1" si="7"/>
        <v>0</v>
      </c>
      <c r="N45" s="790">
        <f t="shared" ca="1" si="9"/>
        <v>0</v>
      </c>
      <c r="O45" s="128"/>
    </row>
    <row r="46" spans="1:22" ht="24" customHeight="1">
      <c r="A46" s="74"/>
      <c r="B46" s="789"/>
      <c r="C46" s="789"/>
      <c r="D46" s="789" t="s">
        <v>114</v>
      </c>
      <c r="E46" s="1735" t="str">
        <f>IF(B46="","",D46/1000)</f>
        <v/>
      </c>
      <c r="F46" s="1736" t="str">
        <f>IF(B46="","",I46)</f>
        <v/>
      </c>
      <c r="G46" s="1737" t="s">
        <v>114</v>
      </c>
      <c r="H46" s="1738">
        <v>0</v>
      </c>
      <c r="I46" s="1735">
        <v>0</v>
      </c>
      <c r="J46" s="1731"/>
      <c r="K46" s="1733">
        <f>IFERROR(E46*(VLOOKUP(EDATE(G46,-1),Índices!#REF!,3,FALSE)/VLOOKUP(EDATE(F46,-1),Índices!#REF!,3,FALSE)),0)</f>
        <v>0</v>
      </c>
      <c r="L46" s="790">
        <f t="shared" si="8"/>
        <v>0</v>
      </c>
      <c r="M46" s="799">
        <f t="shared" ca="1" si="7"/>
        <v>0</v>
      </c>
      <c r="N46" s="790">
        <f t="shared" ca="1" si="9"/>
        <v>0</v>
      </c>
      <c r="O46" s="128"/>
    </row>
    <row r="47" spans="1:22" ht="24" customHeight="1">
      <c r="A47" s="74"/>
      <c r="B47" s="789"/>
      <c r="C47" s="789"/>
      <c r="D47" s="789" t="s">
        <v>114</v>
      </c>
      <c r="E47" s="1735" t="str">
        <f>IF(B47="","",D47/1000)</f>
        <v/>
      </c>
      <c r="F47" s="1736" t="str">
        <f>IF(B47="","",I47)</f>
        <v/>
      </c>
      <c r="G47" s="1737" t="s">
        <v>114</v>
      </c>
      <c r="H47" s="1738">
        <v>0</v>
      </c>
      <c r="I47" s="1735">
        <v>0</v>
      </c>
      <c r="J47" s="1731"/>
      <c r="K47" s="1733">
        <f>IFERROR(E47*(VLOOKUP(EDATE(G47,-1),Índices!#REF!,3,FALSE)/VLOOKUP(EDATE(F47,-1),Índices!#REF!,3,FALSE)),0)</f>
        <v>0</v>
      </c>
      <c r="L47" s="790">
        <f t="shared" si="8"/>
        <v>0</v>
      </c>
      <c r="M47" s="799">
        <f t="shared" ca="1" si="7"/>
        <v>0</v>
      </c>
      <c r="N47" s="790">
        <f t="shared" ca="1" si="9"/>
        <v>0</v>
      </c>
      <c r="O47" s="128"/>
    </row>
    <row r="48" spans="1:22" ht="24" customHeight="1">
      <c r="A48" s="74"/>
      <c r="B48" s="1202" t="s">
        <v>767</v>
      </c>
      <c r="C48" s="1203"/>
      <c r="D48" s="1203"/>
      <c r="E48" s="1202"/>
      <c r="F48" s="1202"/>
      <c r="G48" s="1204"/>
      <c r="H48" s="1202"/>
      <c r="I48" s="1202"/>
      <c r="J48" s="1205">
        <f>SUM(J41:J47)</f>
        <v>0</v>
      </c>
      <c r="K48" s="1206">
        <f ca="1">IFERROR(SUMPRODUCT(K41:K47,M41:M47)/SUM(M41:M47),0)</f>
        <v>0</v>
      </c>
      <c r="L48" s="1202"/>
      <c r="M48" s="1207">
        <f ca="1">SUM(M41:M47)</f>
        <v>0</v>
      </c>
      <c r="N48" s="1207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8" t="s">
        <v>2047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199" t="s">
        <v>776</v>
      </c>
      <c r="C52" s="1200" t="s">
        <v>1130</v>
      </c>
      <c r="D52" s="1201"/>
      <c r="E52" s="1200" t="s">
        <v>62</v>
      </c>
      <c r="F52" s="1200" t="s">
        <v>61</v>
      </c>
      <c r="G52" s="1200" t="s">
        <v>1131</v>
      </c>
      <c r="H52" s="1200" t="s">
        <v>1132</v>
      </c>
      <c r="I52" s="1200" t="s">
        <v>1133</v>
      </c>
      <c r="J52" s="1200" t="s">
        <v>896</v>
      </c>
      <c r="K52" s="1200" t="s">
        <v>1134</v>
      </c>
      <c r="L52" s="1200" t="s">
        <v>1135</v>
      </c>
      <c r="M52" s="1200" t="s">
        <v>1136</v>
      </c>
      <c r="N52" s="1200" t="s">
        <v>1137</v>
      </c>
      <c r="O52" s="128"/>
      <c r="V52" s="140" t="e">
        <f ca="1">V34-V51</f>
        <v>#VALUE!</v>
      </c>
    </row>
    <row r="53" spans="1:22" ht="18" customHeight="1">
      <c r="A53" s="74"/>
      <c r="B53" s="789"/>
      <c r="C53" s="789"/>
      <c r="D53" s="789"/>
      <c r="E53" s="1735"/>
      <c r="F53" s="1736"/>
      <c r="G53" s="1737"/>
      <c r="H53" s="1738"/>
      <c r="I53" s="1732"/>
      <c r="J53" s="1731"/>
      <c r="K53" s="1733">
        <f>H28</f>
        <v>125.51814570000001</v>
      </c>
      <c r="L53" s="790">
        <f>IFERROR(J53*K53,0)</f>
        <v>0</v>
      </c>
      <c r="M53" s="799">
        <f t="shared" ref="M53:M59" ca="1" si="10">IFERROR(J53*$N$30,0)</f>
        <v>0</v>
      </c>
      <c r="N53" s="790">
        <f ca="1">IFERROR(K53*M53,0)</f>
        <v>0</v>
      </c>
      <c r="O53" s="134"/>
    </row>
    <row r="54" spans="1:22">
      <c r="B54" s="789"/>
      <c r="C54" s="789"/>
      <c r="D54" s="789"/>
      <c r="E54" s="1735"/>
      <c r="F54" s="1736"/>
      <c r="G54" s="1737"/>
      <c r="H54" s="1738"/>
      <c r="I54" s="1734"/>
      <c r="J54" s="1731"/>
      <c r="K54" s="1733" t="str">
        <f>H29</f>
        <v/>
      </c>
      <c r="L54" s="790">
        <f>IFERROR(J54*K54,0)</f>
        <v>0</v>
      </c>
      <c r="M54" s="799">
        <f t="shared" ca="1" si="10"/>
        <v>0</v>
      </c>
      <c r="N54" s="790">
        <f ca="1">IFERROR(K54*M54,0)</f>
        <v>0</v>
      </c>
      <c r="V54" s="68">
        <v>7728827.6146981604</v>
      </c>
    </row>
    <row r="55" spans="1:22">
      <c r="B55" s="789"/>
      <c r="C55" s="789"/>
      <c r="D55" s="789" t="s">
        <v>114</v>
      </c>
      <c r="E55" s="1735" t="str">
        <f>IF(B55="","",D55/1000)</f>
        <v/>
      </c>
      <c r="F55" s="1736" t="str">
        <f>IF(B55="","",I55)</f>
        <v/>
      </c>
      <c r="G55" s="1737" t="s">
        <v>114</v>
      </c>
      <c r="H55" s="1738">
        <v>0</v>
      </c>
      <c r="I55" s="1732">
        <v>0</v>
      </c>
      <c r="J55" s="1731"/>
      <c r="K55" s="1733">
        <f>IFERROR(E55*(VLOOKUP(EDATE(G55,-1),Índices!B7:D501,3,FALSE)/VLOOKUP(EDATE(F55,-1),Índices!B7:D501,3,FALSE)),0)</f>
        <v>0</v>
      </c>
      <c r="L55" s="790">
        <f t="shared" ref="L55:L59" si="11">J55*K55</f>
        <v>0</v>
      </c>
      <c r="M55" s="799">
        <f t="shared" ca="1" si="10"/>
        <v>0</v>
      </c>
      <c r="N55" s="790">
        <f t="shared" ref="N55:N59" ca="1" si="12">K55*M55</f>
        <v>0</v>
      </c>
    </row>
    <row r="56" spans="1:22">
      <c r="B56" s="789"/>
      <c r="C56" s="789"/>
      <c r="D56" s="789" t="s">
        <v>114</v>
      </c>
      <c r="E56" s="1735" t="str">
        <f>IF(B56="","",D56/1000)</f>
        <v/>
      </c>
      <c r="F56" s="1736" t="str">
        <f>IF(B56="","",I56)</f>
        <v/>
      </c>
      <c r="G56" s="1737" t="s">
        <v>114</v>
      </c>
      <c r="H56" s="1738">
        <v>0</v>
      </c>
      <c r="I56" s="1732">
        <v>0</v>
      </c>
      <c r="J56" s="1731"/>
      <c r="K56" s="1733">
        <f>IFERROR(E56*(VLOOKUP(EDATE(G56,-1),Índices!B8:D502,3,FALSE)/VLOOKUP(EDATE(F56,-1),Índices!B8:D502,3,FALSE)),0)</f>
        <v>0</v>
      </c>
      <c r="L56" s="790">
        <f t="shared" si="11"/>
        <v>0</v>
      </c>
      <c r="M56" s="799">
        <f t="shared" ca="1" si="10"/>
        <v>0</v>
      </c>
      <c r="N56" s="790">
        <f t="shared" ca="1" si="12"/>
        <v>0</v>
      </c>
      <c r="V56" s="140" t="e">
        <f ca="1">V52+V54</f>
        <v>#VALUE!</v>
      </c>
    </row>
    <row r="57" spans="1:22">
      <c r="B57" s="789"/>
      <c r="C57" s="789"/>
      <c r="D57" s="789" t="s">
        <v>114</v>
      </c>
      <c r="E57" s="1735" t="str">
        <f>IF(B57="","",D57/1000)</f>
        <v/>
      </c>
      <c r="F57" s="1736" t="str">
        <f>IF(B57="","",I57)</f>
        <v/>
      </c>
      <c r="G57" s="1737" t="s">
        <v>114</v>
      </c>
      <c r="H57" s="1738">
        <v>0</v>
      </c>
      <c r="I57" s="1732">
        <v>0</v>
      </c>
      <c r="J57" s="1731"/>
      <c r="K57" s="1733">
        <f>IFERROR(E57*(VLOOKUP(EDATE(G57,-1),Índices!B9:D503,3,FALSE)/VLOOKUP(EDATE(F57,-1),Índices!B9:D503,3,FALSE)),0)</f>
        <v>0</v>
      </c>
      <c r="L57" s="790">
        <f t="shared" si="11"/>
        <v>0</v>
      </c>
      <c r="M57" s="799">
        <f t="shared" ca="1" si="10"/>
        <v>0</v>
      </c>
      <c r="N57" s="790">
        <f t="shared" ca="1" si="12"/>
        <v>0</v>
      </c>
    </row>
    <row r="58" spans="1:22">
      <c r="B58" s="789"/>
      <c r="C58" s="789"/>
      <c r="D58" s="789" t="s">
        <v>114</v>
      </c>
      <c r="E58" s="1735" t="str">
        <f>IF(B58="","",D58/1000)</f>
        <v/>
      </c>
      <c r="F58" s="1736" t="str">
        <f>IF(B58="","",I58)</f>
        <v/>
      </c>
      <c r="G58" s="1737" t="s">
        <v>114</v>
      </c>
      <c r="H58" s="1738">
        <v>0</v>
      </c>
      <c r="I58" s="1732">
        <v>0</v>
      </c>
      <c r="J58" s="1731"/>
      <c r="K58" s="1733">
        <f>IFERROR(E58*(VLOOKUP(EDATE(G58,-1),Índices!B10:D504,3,FALSE)/VLOOKUP(EDATE(F58,-1),Índices!B10:D504,3,FALSE)),0)</f>
        <v>0</v>
      </c>
      <c r="L58" s="790">
        <f t="shared" si="11"/>
        <v>0</v>
      </c>
      <c r="M58" s="799">
        <f t="shared" ca="1" si="10"/>
        <v>0</v>
      </c>
      <c r="N58" s="790">
        <f t="shared" ca="1" si="12"/>
        <v>0</v>
      </c>
    </row>
    <row r="59" spans="1:22">
      <c r="B59" s="789"/>
      <c r="C59" s="789"/>
      <c r="D59" s="789" t="s">
        <v>114</v>
      </c>
      <c r="E59" s="1735" t="str">
        <f>IF(B59="","",D59/1000)</f>
        <v/>
      </c>
      <c r="F59" s="1736" t="str">
        <f>IF(B59="","",I59)</f>
        <v/>
      </c>
      <c r="G59" s="1737" t="s">
        <v>114</v>
      </c>
      <c r="H59" s="1738">
        <v>0</v>
      </c>
      <c r="I59" s="1732">
        <v>0</v>
      </c>
      <c r="J59" s="1731"/>
      <c r="K59" s="1733">
        <f>IFERROR(E59*(VLOOKUP(EDATE(G59,-1),Índices!B11:D505,3,FALSE)/VLOOKUP(EDATE(F59,-1),Índices!B11:D505,3,FALSE)),0)</f>
        <v>0</v>
      </c>
      <c r="L59" s="790">
        <f t="shared" si="11"/>
        <v>0</v>
      </c>
      <c r="M59" s="799">
        <f t="shared" ca="1" si="10"/>
        <v>0</v>
      </c>
      <c r="N59" s="790">
        <f t="shared" ca="1" si="12"/>
        <v>0</v>
      </c>
    </row>
    <row r="60" spans="1:22">
      <c r="B60" s="1202" t="s">
        <v>767</v>
      </c>
      <c r="C60" s="1203"/>
      <c r="D60" s="1203"/>
      <c r="E60" s="1202"/>
      <c r="F60" s="1202"/>
      <c r="G60" s="1204"/>
      <c r="H60" s="1202"/>
      <c r="I60" s="1202"/>
      <c r="J60" s="1205">
        <f>SUM(J53:J59)</f>
        <v>0</v>
      </c>
      <c r="K60" s="1206">
        <f ca="1">IFERROR(SUMPRODUCT(K53:K59,M53:M59)/SUM(M53:M59),0)</f>
        <v>0</v>
      </c>
      <c r="L60" s="1202"/>
      <c r="M60" s="1207">
        <f ca="1">SUM(M53:M59)</f>
        <v>0</v>
      </c>
      <c r="N60" s="1207">
        <f ca="1">SUM(N53:N59)</f>
        <v>0</v>
      </c>
    </row>
    <row r="61" spans="1:22">
      <c r="C61" s="412"/>
      <c r="D61" s="412"/>
      <c r="E61" s="412"/>
      <c r="K61" s="68" t="s">
        <v>2050</v>
      </c>
    </row>
    <row r="62" spans="1:22" ht="15.75">
      <c r="B62" s="1208" t="s">
        <v>1138</v>
      </c>
      <c r="C62" s="1209" t="s">
        <v>1139</v>
      </c>
      <c r="D62" s="1210"/>
      <c r="E62" s="1211" t="s">
        <v>1140</v>
      </c>
      <c r="F62" s="1211" t="s">
        <v>1141</v>
      </c>
      <c r="H62" s="1212" t="s">
        <v>1142</v>
      </c>
      <c r="I62" s="1213" t="s">
        <v>42</v>
      </c>
      <c r="J62" s="1214" t="s">
        <v>43</v>
      </c>
      <c r="K62" s="1215" t="s">
        <v>1112</v>
      </c>
    </row>
    <row r="63" spans="1:22" ht="15.75">
      <c r="B63" s="78" t="s">
        <v>1143</v>
      </c>
      <c r="C63" s="251">
        <f>IF(ISERROR(VLOOKUP("Angra",AngraCota[],5,FALSE)),0,VLOOKUP("Angra",AngraCota[],5,FALSE))</f>
        <v>0</v>
      </c>
      <c r="D63" s="1730">
        <f t="shared" ref="D63:D65" si="13">E63</f>
        <v>0</v>
      </c>
      <c r="E63" s="217">
        <f>IFERROR(VLOOKUP("Angra",AngraCota[],4,FALSE),0)</f>
        <v>0</v>
      </c>
      <c r="F63" s="107">
        <f>C63*E63</f>
        <v>0</v>
      </c>
      <c r="H63" s="1216" t="s">
        <v>1144</v>
      </c>
      <c r="I63" s="1217" cm="1">
        <f t="array" ref="I63">GSFRH[GSF previsto]</f>
        <v>0.87029999999999996</v>
      </c>
      <c r="J63" s="1218" cm="1">
        <f t="array" ref="J63">GSFRH[PLD]</f>
        <v>195.04</v>
      </c>
      <c r="K63" s="1219">
        <f>(J63*(1-I63)*(C64+C65))</f>
        <v>0</v>
      </c>
    </row>
    <row r="64" spans="1:22" ht="15.75">
      <c r="B64" s="78" t="s">
        <v>1144</v>
      </c>
      <c r="C64" s="251">
        <f>BD!AE22</f>
        <v>0</v>
      </c>
      <c r="D64" s="1730">
        <f t="shared" si="13"/>
        <v>0</v>
      </c>
      <c r="E64" s="217">
        <f>BD!AG22</f>
        <v>0</v>
      </c>
      <c r="F64" s="107">
        <f>C64*E64</f>
        <v>0</v>
      </c>
      <c r="H64" s="800" t="s">
        <v>1145</v>
      </c>
      <c r="I64" s="801">
        <f>I63</f>
        <v>0.87029999999999996</v>
      </c>
      <c r="J64" s="802">
        <f>J63</f>
        <v>195.04</v>
      </c>
      <c r="K64" s="803"/>
    </row>
    <row r="65" spans="1:11" ht="15.75">
      <c r="B65" s="78" t="s">
        <v>1144</v>
      </c>
      <c r="C65" s="251">
        <f>BD!AE23</f>
        <v>0</v>
      </c>
      <c r="D65" s="1730">
        <f t="shared" si="13"/>
        <v>0</v>
      </c>
      <c r="E65" s="217">
        <f>BD!AG23</f>
        <v>0</v>
      </c>
      <c r="F65" s="107">
        <f>C65*E65</f>
        <v>0</v>
      </c>
      <c r="H65" s="804" t="s">
        <v>1146</v>
      </c>
      <c r="I65" s="801">
        <f>I64</f>
        <v>0.87029999999999996</v>
      </c>
      <c r="J65" s="802">
        <f>J64</f>
        <v>195.04</v>
      </c>
      <c r="K65" s="803">
        <f>(J65*(1-I65)*I68*K68*365*24)</f>
        <v>0</v>
      </c>
    </row>
    <row r="66" spans="1:11" ht="15.75">
      <c r="B66" s="791"/>
      <c r="C66" s="791">
        <f>SUM(C63:C65)</f>
        <v>0</v>
      </c>
      <c r="D66" s="791"/>
      <c r="E66" s="791"/>
      <c r="F66" s="791">
        <f>SUM(F63:F65)</f>
        <v>0</v>
      </c>
      <c r="H66" s="785" t="s">
        <v>1147</v>
      </c>
      <c r="I66" s="1220"/>
      <c r="J66" s="1221"/>
      <c r="K66" s="1222">
        <f>SUM(K63:K65)</f>
        <v>0</v>
      </c>
    </row>
    <row r="67" spans="1:11" ht="15.75">
      <c r="H67" s="1804" t="s">
        <v>45</v>
      </c>
      <c r="I67" s="1804"/>
      <c r="J67" s="1223"/>
      <c r="K67" s="1223" t="s">
        <v>44</v>
      </c>
    </row>
    <row r="68" spans="1:11" ht="15.75">
      <c r="H68" s="786" t="str">
        <f>CAPA!C9</f>
        <v>Certrel</v>
      </c>
      <c r="I68" s="806" cm="1">
        <f t="array" ref="I68">GSFRH[Fator de rateio]</f>
        <v>0</v>
      </c>
      <c r="J68" s="899">
        <f>J63</f>
        <v>195.04</v>
      </c>
      <c r="K68" s="787" cm="1">
        <f t="array" ref="K68">GSFRH[MWm repactuado]</f>
        <v>14739.74</v>
      </c>
    </row>
    <row r="69" spans="1:11" ht="15">
      <c r="B69" s="1208" t="s">
        <v>1148</v>
      </c>
      <c r="C69" s="1209" t="s">
        <v>1139</v>
      </c>
      <c r="D69" s="1210"/>
      <c r="E69" s="1211" t="s">
        <v>1140</v>
      </c>
      <c r="F69" s="1211" t="s">
        <v>1141</v>
      </c>
    </row>
    <row r="70" spans="1:11">
      <c r="B70" s="78" t="s">
        <v>1149</v>
      </c>
      <c r="C70" s="251">
        <f>D89</f>
        <v>0</v>
      </c>
      <c r="D70" s="805">
        <f t="shared" ref="D70" si="14">E70</f>
        <v>0</v>
      </c>
      <c r="E70" s="789">
        <v>0</v>
      </c>
      <c r="F70" s="107">
        <f>C70*E70</f>
        <v>0</v>
      </c>
    </row>
    <row r="71" spans="1:11">
      <c r="B71" s="78"/>
      <c r="C71" s="251"/>
      <c r="D71" s="805"/>
      <c r="E71" s="789"/>
      <c r="F71" s="107"/>
      <c r="J71" s="140"/>
    </row>
    <row r="72" spans="1:11">
      <c r="B72" s="791"/>
      <c r="C72" s="791">
        <f>SUM(C70:C71)</f>
        <v>0</v>
      </c>
      <c r="D72" s="791"/>
      <c r="E72" s="791"/>
      <c r="F72" s="791">
        <f>SUM(F70:F71)</f>
        <v>0</v>
      </c>
      <c r="J72" s="140"/>
    </row>
    <row r="75" spans="1:11">
      <c r="C75" s="123" t="s">
        <v>1148</v>
      </c>
    </row>
    <row r="76" spans="1:11">
      <c r="C76" s="1708" t="s">
        <v>2197</v>
      </c>
      <c r="D76" s="1708" t="s">
        <v>2304</v>
      </c>
    </row>
    <row r="77" spans="1:11">
      <c r="A77" s="68" t="s">
        <v>1150</v>
      </c>
      <c r="C77" s="1726">
        <f>SAS_RA0_DataInicio</f>
        <v>44440</v>
      </c>
      <c r="D77" s="850">
        <f>IFERROR(VLOOKUP(C77,GeracaoPropria[],2,FALSE)/1000,0)</f>
        <v>0</v>
      </c>
    </row>
    <row r="78" spans="1:11">
      <c r="A78" s="68" t="str">
        <f>TRIM(LEFT(C28,3))</f>
        <v>A4</v>
      </c>
      <c r="C78" s="1726">
        <f>EDATE(C77,1)</f>
        <v>44470</v>
      </c>
      <c r="D78" s="850">
        <f>IFERROR(VLOOKUP(C78,GeracaoPropria[],2,FALSE)/1000,0)</f>
        <v>0</v>
      </c>
    </row>
    <row r="79" spans="1:11">
      <c r="A79" s="68" t="str">
        <f t="shared" ref="A79:A84" si="15">TRIM(LEFT(C29,3))</f>
        <v/>
      </c>
      <c r="C79" s="1726">
        <f t="shared" ref="C79:C87" si="16">EDATE(C78,1)</f>
        <v>44501</v>
      </c>
      <c r="D79" s="850">
        <f>IFERROR(VLOOKUP(C79,GeracaoPropria[],2,FALSE)/1000,0)</f>
        <v>0</v>
      </c>
    </row>
    <row r="80" spans="1:11">
      <c r="A80" s="68" t="str">
        <f t="shared" si="15"/>
        <v/>
      </c>
      <c r="C80" s="1726">
        <f t="shared" si="16"/>
        <v>44531</v>
      </c>
      <c r="D80" s="850">
        <f>IFERROR(VLOOKUP(C80,GeracaoPropria[],2,FALSE)/1000,0)</f>
        <v>0</v>
      </c>
    </row>
    <row r="81" spans="1:4">
      <c r="A81" s="68" t="str">
        <f t="shared" si="15"/>
        <v/>
      </c>
      <c r="C81" s="1726">
        <f t="shared" si="16"/>
        <v>44562</v>
      </c>
      <c r="D81" s="850">
        <f>IFERROR(VLOOKUP(C81,GeracaoPropria[],2,FALSE)/1000,0)</f>
        <v>0</v>
      </c>
    </row>
    <row r="82" spans="1:4">
      <c r="A82" s="68" t="str">
        <f t="shared" si="15"/>
        <v/>
      </c>
      <c r="C82" s="1726">
        <f t="shared" si="16"/>
        <v>44593</v>
      </c>
      <c r="D82" s="850">
        <f>IFERROR(VLOOKUP(C82,GeracaoPropria[],2,FALSE)/1000,0)</f>
        <v>0</v>
      </c>
    </row>
    <row r="83" spans="1:4">
      <c r="A83" s="68" t="str">
        <f t="shared" si="15"/>
        <v/>
      </c>
      <c r="C83" s="1726">
        <f t="shared" si="16"/>
        <v>44621</v>
      </c>
      <c r="D83" s="850">
        <f>IFERROR(VLOOKUP(C83,GeracaoPropria[],2,FALSE)/1000,0)</f>
        <v>0</v>
      </c>
    </row>
    <row r="84" spans="1:4">
      <c r="A84" s="68" t="str">
        <f t="shared" si="15"/>
        <v/>
      </c>
      <c r="C84" s="1726">
        <f t="shared" si="16"/>
        <v>44652</v>
      </c>
      <c r="D84" s="850">
        <f>IFERROR(VLOOKUP(C84,GeracaoPropria[],2,FALSE)/1000,0)</f>
        <v>0</v>
      </c>
    </row>
    <row r="85" spans="1:4">
      <c r="C85" s="1726">
        <f t="shared" si="16"/>
        <v>44682</v>
      </c>
      <c r="D85" s="850">
        <f>IFERROR(VLOOKUP(C85,GeracaoPropria[],2,FALSE)/1000,0)</f>
        <v>0</v>
      </c>
    </row>
    <row r="86" spans="1:4">
      <c r="C86" s="1726">
        <f>EDATE(C85,1)</f>
        <v>44713</v>
      </c>
      <c r="D86" s="850">
        <f>IFERROR(VLOOKUP(C86,GeracaoPropria[],2,FALSE)/1000,D85)</f>
        <v>0</v>
      </c>
    </row>
    <row r="87" spans="1:4">
      <c r="C87" s="1726">
        <f t="shared" si="16"/>
        <v>44743</v>
      </c>
      <c r="D87" s="850">
        <f>IFERROR(VLOOKUP(C87,GeracaoPropria[],2,FALSE)/1000,D86)</f>
        <v>0</v>
      </c>
    </row>
    <row r="88" spans="1:4">
      <c r="C88" s="1726">
        <f>EDATE(C87,1)</f>
        <v>44774</v>
      </c>
      <c r="D88" s="850">
        <f>IFERROR(VLOOKUP(C88,GeracaoPropria[],2,FALSE)/1000,D87)</f>
        <v>0</v>
      </c>
    </row>
    <row r="89" spans="1:4">
      <c r="C89" s="1709" t="s">
        <v>767</v>
      </c>
      <c r="D89" s="1114">
        <f t="shared" ref="D89" si="17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H7" sqref="H7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11" t="s">
        <v>2280</v>
      </c>
      <c r="C1" s="1712"/>
      <c r="D1" s="1713"/>
      <c r="E1" s="1713"/>
      <c r="F1" s="1714" t="s">
        <v>871</v>
      </c>
      <c r="G1" s="1715">
        <f ca="1">LnkTXTIRTEco</f>
        <v>7.1900000000000006E-2</v>
      </c>
    </row>
    <row r="2" spans="2:10">
      <c r="B2" s="1716" t="str">
        <f>CAPA!C9</f>
        <v>Certrel</v>
      </c>
      <c r="C2" s="1717"/>
      <c r="D2" s="1717"/>
      <c r="E2" s="1717"/>
      <c r="F2" s="1718" t="s">
        <v>875</v>
      </c>
      <c r="G2" s="1719">
        <f ca="1">LnkTXTIRTTotal</f>
        <v>-3.0800000000000001E-2</v>
      </c>
    </row>
    <row r="4" spans="2:10">
      <c r="B4" s="9"/>
    </row>
    <row r="5" spans="2:10" ht="25.5">
      <c r="B5" s="1708" t="s">
        <v>2197</v>
      </c>
      <c r="C5" s="1708" t="s">
        <v>2178</v>
      </c>
      <c r="D5" s="1708" t="s">
        <v>2179</v>
      </c>
      <c r="E5" s="1708" t="s">
        <v>2180</v>
      </c>
      <c r="F5" s="1708" t="s">
        <v>788</v>
      </c>
      <c r="G5" s="1708" t="s">
        <v>109</v>
      </c>
      <c r="H5" s="1708" t="s">
        <v>2198</v>
      </c>
      <c r="I5" s="1708" t="s">
        <v>740</v>
      </c>
      <c r="J5" s="1708" t="s">
        <v>1280</v>
      </c>
    </row>
    <row r="6" spans="2:10">
      <c r="B6" s="1726">
        <f>SAS_RA0_DataInicio</f>
        <v>44440</v>
      </c>
      <c r="C6" s="850">
        <f>IFERROR(VLOOKUP(B6,PerdasDitFinal[#All],2,FALSE),0)</f>
        <v>0</v>
      </c>
      <c r="D6" s="850">
        <f>IFERROR(VLOOKUP(B6,PerdasDitFinal[#All],3,FALSE),0)</f>
        <v>0</v>
      </c>
      <c r="E6" s="850">
        <f>IFERROR(VLOOKUP(B6,PerdasDitFinal[#All],4,FALSE),0)</f>
        <v>0</v>
      </c>
      <c r="F6" s="850">
        <f>IF(C6=0,(SUMIF(FaturasT!I:I,'Perdas de Energia'!B6,FaturasT!N:N)+SUMIF(FaturasT!I:I,'Perdas de Energia'!B6,FaturasT!O:ON))/1000,0)</f>
        <v>4354.3140000000003</v>
      </c>
      <c r="G6" s="850">
        <f>IF(C6=0,(SUMIF(FaturasT!I:I,'Perdas de Energia'!B6,FaturasT!P:P)/1000),0)</f>
        <v>69.234999999999999</v>
      </c>
      <c r="H6" s="850">
        <f>SUMIF(dados_MercadoBase[AnoMes],'Perdas de Energia'!B6,dados_MercadoBase[TE_E])</f>
        <v>3727.5729999999999</v>
      </c>
      <c r="I6" s="1727">
        <f>C6-D6-E6+F6-H6+G6</f>
        <v>695.97600000000045</v>
      </c>
      <c r="J6" s="1728">
        <f>I6/(C6-D6-E6+F6+G6)</f>
        <v>0.15733430329357728</v>
      </c>
    </row>
    <row r="7" spans="2:10">
      <c r="B7" s="1726">
        <f>EDATE(B6,1)</f>
        <v>44470</v>
      </c>
      <c r="C7" s="850">
        <f>IFERROR(VLOOKUP(B7,PerdasDitFinal[#All],2,FALSE),0)</f>
        <v>0</v>
      </c>
      <c r="D7" s="850">
        <f>IFERROR(VLOOKUP(B7,PerdasDitFinal[#All],3,FALSE),0)</f>
        <v>0</v>
      </c>
      <c r="E7" s="850">
        <f>IFERROR(VLOOKUP(B7,PerdasDitFinal[#All],4,FALSE),0)</f>
        <v>0</v>
      </c>
      <c r="F7" s="850">
        <f>IF(C7=0,(SUMIF(FaturasT!I:I,'Perdas de Energia'!B7,FaturasT!N:N)+SUMIF(FaturasT!I:I,'Perdas de Energia'!B7,FaturasT!O:ON))/1000,0)</f>
        <v>4084.3980000000001</v>
      </c>
      <c r="G7" s="850">
        <f>IF(C7=0,(SUMIF(FaturasT!I:I,'Perdas de Energia'!B7,FaturasT!P:P)/1000),0)</f>
        <v>69.22</v>
      </c>
      <c r="H7" s="850">
        <f>SUMIF(dados_MercadoBase[AnoMes],'Perdas de Energia'!B7,dados_MercadoBase[TE_E])</f>
        <v>3790.1859999999992</v>
      </c>
      <c r="I7" s="1727">
        <f t="shared" ref="I7:I16" si="0">C7-D7-E7+F7-H7+G7</f>
        <v>363.43200000000093</v>
      </c>
      <c r="J7" s="1728">
        <f t="shared" ref="J7:J17" si="1">I7/(C7-D7-E7+F7+G7)</f>
        <v>8.7497694780791321E-2</v>
      </c>
    </row>
    <row r="8" spans="2:10">
      <c r="B8" s="1726">
        <f t="shared" ref="B8:B16" si="2">EDATE(B7,1)</f>
        <v>44501</v>
      </c>
      <c r="C8" s="850">
        <f>IFERROR(VLOOKUP(B8,PerdasDitFinal[#All],2,FALSE),0)</f>
        <v>0</v>
      </c>
      <c r="D8" s="850">
        <f>IFERROR(VLOOKUP(B8,PerdasDitFinal[#All],3,FALSE),0)</f>
        <v>0</v>
      </c>
      <c r="E8" s="850">
        <f>IFERROR(VLOOKUP(B8,PerdasDitFinal[#All],4,FALSE),0)</f>
        <v>0</v>
      </c>
      <c r="F8" s="850">
        <f>IF(C8=0,(SUMIF(FaturasT!I:I,'Perdas de Energia'!B8,FaturasT!N:N)+SUMIF(FaturasT!I:I,'Perdas de Energia'!B8,FaturasT!O:ON))/1000,0)</f>
        <v>4106.0060000000003</v>
      </c>
      <c r="G8" s="850">
        <f>IF(C8=0,(SUMIF(FaturasT!I:I,'Perdas de Energia'!B8,FaturasT!P:P)/1000),0)</f>
        <v>73.701999999999998</v>
      </c>
      <c r="H8" s="850">
        <f>SUMIF(dados_MercadoBase[AnoMes],'Perdas de Energia'!B8,dados_MercadoBase[TE_E])</f>
        <v>3734.6080000000002</v>
      </c>
      <c r="I8" s="1727">
        <f t="shared" si="0"/>
        <v>445.10000000000014</v>
      </c>
      <c r="J8" s="1728">
        <f t="shared" si="1"/>
        <v>0.10649069265125699</v>
      </c>
    </row>
    <row r="9" spans="2:10">
      <c r="B9" s="1726">
        <f t="shared" si="2"/>
        <v>44531</v>
      </c>
      <c r="C9" s="850">
        <f>IFERROR(VLOOKUP(B9,PerdasDitFinal[#All],2,FALSE),0)</f>
        <v>0</v>
      </c>
      <c r="D9" s="850">
        <f>IFERROR(VLOOKUP(B9,PerdasDitFinal[#All],3,FALSE),0)</f>
        <v>0</v>
      </c>
      <c r="E9" s="850">
        <f>IFERROR(VLOOKUP(B9,PerdasDitFinal[#All],4,FALSE),0)</f>
        <v>0</v>
      </c>
      <c r="F9" s="850">
        <f>IF(C9=0,(SUMIF(FaturasT!I:I,'Perdas de Energia'!B9,FaturasT!N:N)+SUMIF(FaturasT!I:I,'Perdas de Energia'!B9,FaturasT!O:ON))/1000,0)</f>
        <v>4117.3599999999997</v>
      </c>
      <c r="G9" s="850">
        <f>IF(C9=0,(SUMIF(FaturasT!I:I,'Perdas de Energia'!B9,FaturasT!P:P)/1000),0)</f>
        <v>73.582999999999998</v>
      </c>
      <c r="H9" s="850">
        <f>SUMIF(dados_MercadoBase[AnoMes],'Perdas de Energia'!B9,dados_MercadoBase[TE_E])</f>
        <v>3413.5770000000002</v>
      </c>
      <c r="I9" s="1727">
        <f t="shared" si="0"/>
        <v>777.36599999999942</v>
      </c>
      <c r="J9" s="1728">
        <f t="shared" si="1"/>
        <v>0.18548713260953431</v>
      </c>
    </row>
    <row r="10" spans="2:10">
      <c r="B10" s="1726">
        <f t="shared" si="2"/>
        <v>44562</v>
      </c>
      <c r="C10" s="850">
        <f>IFERROR(VLOOKUP(B10,PerdasDitFinal[#All],2,FALSE),0)</f>
        <v>0</v>
      </c>
      <c r="D10" s="850">
        <f>IFERROR(VLOOKUP(B10,PerdasDitFinal[#All],3,FALSE),0)</f>
        <v>0</v>
      </c>
      <c r="E10" s="850">
        <f>IFERROR(VLOOKUP(B10,PerdasDitFinal[#All],4,FALSE),0)</f>
        <v>0</v>
      </c>
      <c r="F10" s="850">
        <f>IF(C10=0,(SUMIF(FaturasT!I:I,'Perdas de Energia'!B10,FaturasT!N:N)+SUMIF(FaturasT!I:I,'Perdas de Energia'!B10,FaturasT!O:ON))/1000,0)</f>
        <v>3795.9259999999999</v>
      </c>
      <c r="G10" s="850">
        <f>IF(C10=0,(SUMIF(FaturasT!I:I,'Perdas de Energia'!B10,FaturasT!P:P)/1000),0)</f>
        <v>67.096999999999994</v>
      </c>
      <c r="H10" s="850">
        <f>SUMIF(dados_MercadoBase[AnoMes],'Perdas de Energia'!B10,dados_MercadoBase[TE_E])</f>
        <v>3640.5160000000005</v>
      </c>
      <c r="I10" s="1727">
        <f t="shared" si="0"/>
        <v>222.50699999999938</v>
      </c>
      <c r="J10" s="1728">
        <f t="shared" si="1"/>
        <v>5.7599191099819848E-2</v>
      </c>
    </row>
    <row r="11" spans="2:10">
      <c r="B11" s="1726">
        <f t="shared" si="2"/>
        <v>44593</v>
      </c>
      <c r="C11" s="850">
        <f>IFERROR(VLOOKUP(B11,PerdasDitFinal[#All],2,FALSE),0)</f>
        <v>0</v>
      </c>
      <c r="D11" s="850">
        <f>IFERROR(VLOOKUP(B11,PerdasDitFinal[#All],3,FALSE),0)</f>
        <v>0</v>
      </c>
      <c r="E11" s="850">
        <f>IFERROR(VLOOKUP(B11,PerdasDitFinal[#All],4,FALSE),0)</f>
        <v>0</v>
      </c>
      <c r="F11" s="850">
        <f>IF(C11=0,(SUMIF(FaturasT!I:I,'Perdas de Energia'!B11,FaturasT!N:N)+SUMIF(FaturasT!I:I,'Perdas de Energia'!B11,FaturasT!O:ON))/1000,0)</f>
        <v>4165.9790000000003</v>
      </c>
      <c r="G11" s="850">
        <f>IF(C11=0,(SUMIF(FaturasT!I:I,'Perdas de Energia'!B11,FaturasT!P:P)/1000),0)</f>
        <v>59.511000000000003</v>
      </c>
      <c r="H11" s="850">
        <f>SUMIF(dados_MercadoBase[AnoMes],'Perdas de Energia'!B11,dados_MercadoBase[TE_E])</f>
        <v>3737.6970000000001</v>
      </c>
      <c r="I11" s="1727">
        <f t="shared" si="0"/>
        <v>487.79300000000018</v>
      </c>
      <c r="J11" s="1728">
        <f t="shared" si="1"/>
        <v>0.11544057612253256</v>
      </c>
    </row>
    <row r="12" spans="2:10">
      <c r="B12" s="1726">
        <f t="shared" si="2"/>
        <v>44621</v>
      </c>
      <c r="C12" s="850">
        <f>IFERROR(VLOOKUP(B12,PerdasDitFinal[#All],2,FALSE),0)</f>
        <v>0</v>
      </c>
      <c r="D12" s="850">
        <f>IFERROR(VLOOKUP(B12,PerdasDitFinal[#All],3,FALSE),0)</f>
        <v>0</v>
      </c>
      <c r="E12" s="850">
        <f>IFERROR(VLOOKUP(B12,PerdasDitFinal[#All],4,FALSE),0)</f>
        <v>0</v>
      </c>
      <c r="F12" s="850">
        <f>IF(C12=0,(SUMIF(FaturasT!I:I,'Perdas de Energia'!B12,FaturasT!N:N)+SUMIF(FaturasT!I:I,'Perdas de Energia'!B12,FaturasT!O:ON))/1000,0)</f>
        <v>3857.067</v>
      </c>
      <c r="G12" s="850">
        <f>IF(C12=0,(SUMIF(FaturasT!I:I,'Perdas de Energia'!B12,FaturasT!P:P)/1000),0)</f>
        <v>53.298999999999999</v>
      </c>
      <c r="H12" s="850">
        <f>SUMIF(dados_MercadoBase[AnoMes],'Perdas de Energia'!B12,dados_MercadoBase[TE_E])</f>
        <v>4136.8020000000006</v>
      </c>
      <c r="I12" s="1727">
        <f t="shared" si="0"/>
        <v>-226.43600000000058</v>
      </c>
      <c r="J12" s="1728">
        <f t="shared" si="1"/>
        <v>-5.7906600047156857E-2</v>
      </c>
    </row>
    <row r="13" spans="2:10">
      <c r="B13" s="1726">
        <f t="shared" si="2"/>
        <v>44652</v>
      </c>
      <c r="C13" s="850">
        <f>IFERROR(VLOOKUP(B13,PerdasDitFinal[#All],2,FALSE),0)</f>
        <v>0</v>
      </c>
      <c r="D13" s="850">
        <f>IFERROR(VLOOKUP(B13,PerdasDitFinal[#All],3,FALSE),0)</f>
        <v>0</v>
      </c>
      <c r="E13" s="850">
        <f>IFERROR(VLOOKUP(B13,PerdasDitFinal[#All],4,FALSE),0)</f>
        <v>0</v>
      </c>
      <c r="F13" s="850">
        <f>IF(C13=0,(SUMIF(FaturasT!I:I,'Perdas de Energia'!B13,FaturasT!N:N)+SUMIF(FaturasT!I:I,'Perdas de Energia'!B13,FaturasT!O:ON))/1000,0)</f>
        <v>4483.0990000000002</v>
      </c>
      <c r="G13" s="850">
        <f>IF(C13=0,(SUMIF(FaturasT!I:I,'Perdas de Energia'!B13,FaturasT!P:P)/1000),0)</f>
        <v>57.606000000000002</v>
      </c>
      <c r="H13" s="850">
        <f>SUMIF(dados_MercadoBase[AnoMes],'Perdas de Energia'!B13,dados_MercadoBase[TE_E])</f>
        <v>3669.3120000000004</v>
      </c>
      <c r="I13" s="1727">
        <f t="shared" si="0"/>
        <v>871.3929999999998</v>
      </c>
      <c r="J13" s="1728">
        <f t="shared" si="1"/>
        <v>0.19190698360717109</v>
      </c>
    </row>
    <row r="14" spans="2:10">
      <c r="B14" s="1726">
        <f t="shared" si="2"/>
        <v>44682</v>
      </c>
      <c r="C14" s="850">
        <f>IFERROR(VLOOKUP(B14,PerdasDitFinal[#All],2,FALSE),0)</f>
        <v>0</v>
      </c>
      <c r="D14" s="850">
        <f>IFERROR(VLOOKUP(B14,PerdasDitFinal[#All],3,FALSE),D13)</f>
        <v>0</v>
      </c>
      <c r="E14" s="850">
        <f>IFERROR(VLOOKUP(B14,PerdasDitFinal[#All],4,FALSE),E13)</f>
        <v>0</v>
      </c>
      <c r="F14" s="850">
        <f>IF(C14=0,IF(IFERROR(VLOOKUP(B14,Consulta3[MesAno],1,FALSE),0)='Perdas de Energia'!B14,(SUMIF(FaturasT!I:I,'Perdas de Energia'!B14,FaturasT!N:N)+SUMIF(FaturasT!I:I,'Perdas de Energia'!B14,FaturasT!O:ON))/1000,F13),0)</f>
        <v>3956.5390000000002</v>
      </c>
      <c r="G14" s="850">
        <f>IF(C14=0,IF(IFERROR(VLOOKUP(B14,FaturasT!I:I,1,FALSE),0)=B14,(SUMIF(Consulta3[MesAno],'Perdas de Energia'!B14,Consulta3[Proinfa (kWh)])/1000),G13),0)</f>
        <v>55.427</v>
      </c>
      <c r="H14" s="850">
        <f>SUMIF(dados_MercadoBase[AnoMes],'Perdas de Energia'!B14,dados_MercadoBase[TE_E])</f>
        <v>3772.3970000000004</v>
      </c>
      <c r="I14" s="1727">
        <f t="shared" si="0"/>
        <v>239.56899999999982</v>
      </c>
      <c r="J14" s="1728">
        <f t="shared" si="1"/>
        <v>5.9713616715595247E-2</v>
      </c>
    </row>
    <row r="15" spans="2:10">
      <c r="B15" s="1726">
        <f>EDATE(B14,1)</f>
        <v>44713</v>
      </c>
      <c r="C15" s="850">
        <f>IFERROR(VLOOKUP(B15,PerdasDitFinal[#All],2,FALSE),C14)</f>
        <v>0</v>
      </c>
      <c r="D15" s="850">
        <f>IFERROR(VLOOKUP(B15,PerdasDitFinal[#All],3,FALSE),D14)</f>
        <v>0</v>
      </c>
      <c r="E15" s="850">
        <f>IFERROR(VLOOKUP(B15,PerdasDitFinal[#All],4,FALSE),E14)</f>
        <v>0</v>
      </c>
      <c r="F15" s="850">
        <f>IF(C15=0,IF(IFERROR(VLOOKUP(B15,Consulta3[MesAno],1,FALSE),0)='Perdas de Energia'!B15,(SUMIF(FaturasT!I:I,'Perdas de Energia'!B15,FaturasT!N:N)+SUMIF(FaturasT!I:I,'Perdas de Energia'!B15,FaturasT!O:ON))/1000,F14),0)</f>
        <v>4188.8149999999996</v>
      </c>
      <c r="G15" s="850">
        <f>IF(C15=0,IF(IFERROR(VLOOKUP(B15,FaturasT!I:I,1,FALSE),0)=B15,(SUMIF(Consulta3[MesAno],'Perdas de Energia'!B15,Consulta3[Proinfa (kWh)])/1000),G14),0)</f>
        <v>62.872999999999998</v>
      </c>
      <c r="H15" s="850">
        <f>SUMIF(dados_MercadoBase[AnoMes],'Perdas de Energia'!B15,dados_MercadoBase[TE_E])</f>
        <v>3894.6779999999994</v>
      </c>
      <c r="I15" s="1727">
        <f t="shared" si="0"/>
        <v>357.01000000000016</v>
      </c>
      <c r="J15" s="1728">
        <f t="shared" si="1"/>
        <v>8.3969002429152895E-2</v>
      </c>
    </row>
    <row r="16" spans="2:10">
      <c r="B16" s="1726">
        <f t="shared" si="2"/>
        <v>44743</v>
      </c>
      <c r="C16" s="850">
        <f>IFERROR(VLOOKUP(B16,PerdasDitFinal[#All],2,FALSE),C15)</f>
        <v>0</v>
      </c>
      <c r="D16" s="850">
        <f>IFERROR(VLOOKUP(B16,PerdasDitFinal[#All],3,FALSE),D15)</f>
        <v>0</v>
      </c>
      <c r="E16" s="850">
        <f>IFERROR(VLOOKUP(B16,PerdasDitFinal[#All],4,FALSE),E15)</f>
        <v>0</v>
      </c>
      <c r="F16" s="850">
        <f>IF(C16=0,IF(IFERROR(VLOOKUP(B16,Consulta3[MesAno],1,FALSE),0)='Perdas de Energia'!B16,(SUMIF(FaturasT!I:I,'Perdas de Energia'!B16,FaturasT!N:N)+SUMIF(FaturasT!I:I,'Perdas de Energia'!B16,FaturasT!O:ON))/1000,F15),0)</f>
        <v>4164.076</v>
      </c>
      <c r="G16" s="850">
        <f>IF(C16=0,IF(IFERROR(VLOOKUP(B16,FaturasT!I:I,1,FALSE),0)=B16,(SUMIF(Consulta3[MesAno],'Perdas de Energia'!B16,Consulta3[Proinfa (kWh)])/1000),G15),0)</f>
        <v>62.83</v>
      </c>
      <c r="H16" s="850">
        <f>SUMIF(dados_MercadoBase[AnoMes],'Perdas de Energia'!B16,dados_MercadoBase[TE_E])</f>
        <v>3651.1319999999996</v>
      </c>
      <c r="I16" s="1727">
        <f t="shared" si="0"/>
        <v>575.77400000000046</v>
      </c>
      <c r="J16" s="1728">
        <f t="shared" si="1"/>
        <v>0.13621641929108441</v>
      </c>
    </row>
    <row r="17" spans="2:10">
      <c r="B17" s="1726">
        <f>EDATE(B16,1)</f>
        <v>44774</v>
      </c>
      <c r="C17" s="850">
        <f>IFERROR(VLOOKUP(B17,PerdasDitFinal[#All],2,FALSE),C16)</f>
        <v>0</v>
      </c>
      <c r="D17" s="850">
        <f>IFERROR(VLOOKUP(B17,PerdasDitFinal[#All],3,FALSE),D16)</f>
        <v>0</v>
      </c>
      <c r="E17" s="850">
        <f>IFERROR(VLOOKUP(B17,PerdasDitFinal[#All],4,FALSE),E16)</f>
        <v>0</v>
      </c>
      <c r="F17" s="850">
        <f>IF(C17=0,IF(IFERROR(VLOOKUP(B17,Consulta3[MesAno],1,FALSE),0)='Perdas de Energia'!B17,(SUMIF(FaturasT!I:I,'Perdas de Energia'!B17,FaturasT!N:N)+SUMIF(FaturasT!I:I,'Perdas de Energia'!B17,FaturasT!O:ON))/1000,F16),0)</f>
        <v>3933.8679999999999</v>
      </c>
      <c r="G17" s="850">
        <f>IF(C17=0,IF(IFERROR(VLOOKUP(B17,FaturasT!I:I,1,FALSE),0)=B17,(SUMIF(Consulta3[MesAno],'Perdas de Energia'!B17,Consulta3[Proinfa (kWh)])/1000),G16),0)</f>
        <v>65.099000000000004</v>
      </c>
      <c r="H17" s="850">
        <f>SUMIF(dados_MercadoBase[AnoMes],'Perdas de Energia'!B17,dados_MercadoBase[TE_E])</f>
        <v>3651.1319999999996</v>
      </c>
      <c r="I17" s="1727">
        <f>C17-D17-E17+F17-H17+G17</f>
        <v>347.83500000000032</v>
      </c>
      <c r="J17" s="1728">
        <f t="shared" si="1"/>
        <v>8.6981212898231047E-2</v>
      </c>
    </row>
    <row r="18" spans="2:10">
      <c r="B18" s="1709" t="s">
        <v>767</v>
      </c>
      <c r="C18" s="1114">
        <f t="shared" ref="C18:G18" si="3">SUM(C6:C17)</f>
        <v>0</v>
      </c>
      <c r="D18" s="1114">
        <f t="shared" si="3"/>
        <v>0</v>
      </c>
      <c r="E18" s="1114">
        <f t="shared" si="3"/>
        <v>0</v>
      </c>
      <c r="F18" s="1114">
        <f t="shared" si="3"/>
        <v>49207.447</v>
      </c>
      <c r="G18" s="1114">
        <f t="shared" si="3"/>
        <v>769.4820000000002</v>
      </c>
      <c r="H18" s="1114">
        <f>SUM(H6:H17)</f>
        <v>44819.609999999993</v>
      </c>
      <c r="I18" s="1114">
        <f>SUM(I6:I17)</f>
        <v>5157.3189999999995</v>
      </c>
      <c r="J18" s="1710">
        <f>I18/(C18-D18-E18+F18+G18)</f>
        <v>0.10319399577352981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4" t="s">
        <v>635</v>
      </c>
      <c r="C1" s="1018">
        <f>Resultado!C1</f>
        <v>0</v>
      </c>
      <c r="D1" s="1225"/>
      <c r="E1" s="1226"/>
      <c r="F1" s="1227"/>
      <c r="G1" s="1128" t="s">
        <v>871</v>
      </c>
      <c r="H1" s="1228">
        <f ca="1">LnkTXTIRTEco</f>
        <v>7.1900000000000006E-2</v>
      </c>
    </row>
    <row r="2" spans="2:27">
      <c r="B2" s="136" t="str">
        <f>CAPA!C9</f>
        <v>Certrel</v>
      </c>
      <c r="C2" s="70"/>
      <c r="D2" s="70"/>
      <c r="G2" s="120" t="s">
        <v>875</v>
      </c>
      <c r="H2" s="146">
        <f ca="1">LnkTXTIRTTotal</f>
        <v>-3.0800000000000001E-2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29" t="s">
        <v>1151</v>
      </c>
      <c r="C6" s="1229"/>
      <c r="D6" s="1229"/>
      <c r="E6" s="1229"/>
      <c r="F6" s="1229"/>
      <c r="G6" s="1229"/>
      <c r="H6" s="1229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0" t="s">
        <v>776</v>
      </c>
      <c r="C8" s="1230" t="s">
        <v>1152</v>
      </c>
      <c r="D8" s="1230" t="s">
        <v>1153</v>
      </c>
      <c r="E8" s="1230" t="s">
        <v>1154</v>
      </c>
      <c r="H8" s="150"/>
    </row>
    <row r="9" spans="2:27">
      <c r="B9" s="156" t="s">
        <v>891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1" t="s">
        <v>1155</v>
      </c>
      <c r="C10" s="1232">
        <f>SUMIFS($M$18:$M$63,$D$18:$D$63,"Fora Ponta")</f>
        <v>0</v>
      </c>
      <c r="D10" s="1232">
        <f>SUMIFS($J$18:$J$63,$D$18:$D$63,"Fora Ponta")</f>
        <v>0</v>
      </c>
      <c r="E10" s="1232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3" t="s">
        <v>1156</v>
      </c>
      <c r="G14" s="1234"/>
      <c r="H14" s="1234"/>
      <c r="I14" s="1234"/>
      <c r="J14" s="1234"/>
      <c r="K14" s="1234"/>
      <c r="L14" s="1234"/>
      <c r="M14" s="1234"/>
      <c r="N14" s="1234"/>
      <c r="O14" s="1234"/>
      <c r="P14" s="1234"/>
      <c r="Q14" s="1234"/>
      <c r="R14" s="1235"/>
    </row>
    <row r="15" spans="2:27">
      <c r="B15" s="1815" t="s">
        <v>1157</v>
      </c>
      <c r="C15" s="1816" t="s">
        <v>1158</v>
      </c>
      <c r="D15" s="1817" t="s">
        <v>78</v>
      </c>
      <c r="E15" s="1818" t="s">
        <v>1159</v>
      </c>
      <c r="F15" s="1818"/>
      <c r="G15" s="1818"/>
      <c r="H15" s="1819"/>
      <c r="I15" s="1820" t="s">
        <v>1160</v>
      </c>
      <c r="J15" s="1821"/>
      <c r="K15" s="1821"/>
      <c r="L15" s="1821"/>
      <c r="M15" s="1805" t="s">
        <v>1161</v>
      </c>
      <c r="N15" s="1806"/>
      <c r="O15" s="1806"/>
      <c r="P15" s="1806"/>
      <c r="Q15" s="1806"/>
      <c r="R15" s="1806"/>
      <c r="S15" s="1806"/>
      <c r="T15" s="1806"/>
      <c r="U15" s="1806"/>
      <c r="V15" s="1806"/>
      <c r="W15" s="1806"/>
      <c r="X15" s="1806"/>
      <c r="Y15" s="1806"/>
      <c r="Z15" s="65"/>
      <c r="AA15" s="382"/>
    </row>
    <row r="16" spans="2:27">
      <c r="B16" s="1815"/>
      <c r="C16" s="1816"/>
      <c r="D16" s="1817"/>
      <c r="E16" s="1809" t="s">
        <v>110</v>
      </c>
      <c r="F16" s="1810"/>
      <c r="G16" s="1810" t="s">
        <v>1162</v>
      </c>
      <c r="H16" s="1811"/>
      <c r="I16" s="1812" t="s">
        <v>110</v>
      </c>
      <c r="J16" s="1813"/>
      <c r="K16" s="1813" t="s">
        <v>1162</v>
      </c>
      <c r="L16" s="1814"/>
      <c r="M16" s="1807"/>
      <c r="N16" s="1808"/>
      <c r="O16" s="1808"/>
      <c r="P16" s="1808"/>
      <c r="Q16" s="1808"/>
      <c r="R16" s="1808"/>
      <c r="S16" s="1808"/>
      <c r="T16" s="1808"/>
      <c r="U16" s="1808"/>
      <c r="V16" s="1808"/>
      <c r="W16" s="1808"/>
      <c r="X16" s="1808"/>
      <c r="Y16" s="1808"/>
      <c r="Z16" s="65"/>
      <c r="AA16" s="382"/>
    </row>
    <row r="17" spans="2:27">
      <c r="B17" s="1815"/>
      <c r="C17" s="1816"/>
      <c r="D17" s="1817"/>
      <c r="E17" s="383" t="s">
        <v>693</v>
      </c>
      <c r="F17" s="384" t="s">
        <v>694</v>
      </c>
      <c r="G17" s="384" t="s">
        <v>693</v>
      </c>
      <c r="H17" s="385" t="s">
        <v>694</v>
      </c>
      <c r="I17" s="386" t="s">
        <v>693</v>
      </c>
      <c r="J17" s="387" t="s">
        <v>694</v>
      </c>
      <c r="K17" s="387" t="s">
        <v>693</v>
      </c>
      <c r="L17" s="387" t="s">
        <v>694</v>
      </c>
      <c r="M17" s="388" t="s">
        <v>767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780</v>
      </c>
    </row>
    <row r="18" spans="2:27" hidden="1">
      <c r="B18" s="1236">
        <f>RBBD!B3</f>
        <v>0</v>
      </c>
      <c r="C18" s="1236">
        <f>RBBD!C3</f>
        <v>0</v>
      </c>
      <c r="D18" s="1236">
        <f>RBBD!D3</f>
        <v>0</v>
      </c>
      <c r="E18" s="1236">
        <f>RBBD!E3</f>
        <v>0</v>
      </c>
      <c r="F18" s="1236">
        <f>RBBD!F3</f>
        <v>0</v>
      </c>
      <c r="G18" s="1236">
        <f>RBBD!G3</f>
        <v>0</v>
      </c>
      <c r="H18" s="1236">
        <f>RBBD!H3</f>
        <v>0</v>
      </c>
      <c r="I18" s="1236">
        <f>E18*$M18</f>
        <v>0</v>
      </c>
      <c r="J18" s="1236">
        <f>F18*$M18</f>
        <v>0</v>
      </c>
      <c r="K18" s="1236">
        <f>G18*$M18</f>
        <v>0</v>
      </c>
      <c r="L18" s="1236">
        <f>H18*$M18</f>
        <v>0</v>
      </c>
      <c r="M18" s="1236">
        <f>SUM(N18:Y18)</f>
        <v>0</v>
      </c>
      <c r="N18" s="1236">
        <f>RBBD!I3</f>
        <v>0</v>
      </c>
      <c r="O18" s="1236">
        <f>RBBD!J3</f>
        <v>0</v>
      </c>
      <c r="P18" s="1236">
        <f>RBBD!K3</f>
        <v>0</v>
      </c>
      <c r="Q18" s="1236">
        <f>RBBD!L3</f>
        <v>0</v>
      </c>
      <c r="R18" s="1236">
        <f>RBBD!M3</f>
        <v>0</v>
      </c>
      <c r="S18" s="1236">
        <f>RBBD!N3</f>
        <v>0</v>
      </c>
      <c r="T18" s="1236">
        <f>RBBD!O3</f>
        <v>0</v>
      </c>
      <c r="U18" s="1236">
        <f>RBBD!P3</f>
        <v>0</v>
      </c>
      <c r="V18" s="1236">
        <f>RBBD!Q3</f>
        <v>0</v>
      </c>
      <c r="W18" s="1236">
        <f>RBBD!R3</f>
        <v>0</v>
      </c>
      <c r="X18" s="1236">
        <f>RBBD!S3</f>
        <v>0</v>
      </c>
      <c r="Y18" s="1236">
        <f>RBBD!T3</f>
        <v>0</v>
      </c>
      <c r="Z18" s="65"/>
      <c r="AA18" s="324">
        <f t="shared" ref="AA18:AA23" si="1">IF(B18=0,0,1)</f>
        <v>0</v>
      </c>
    </row>
    <row r="19" spans="2:27" hidden="1">
      <c r="B19" s="1236">
        <f>RBBD!B4</f>
        <v>0</v>
      </c>
      <c r="C19" s="1236">
        <f>RBBD!C4</f>
        <v>0</v>
      </c>
      <c r="D19" s="1236">
        <f>RBBD!D4</f>
        <v>0</v>
      </c>
      <c r="E19" s="1236">
        <f>RBBD!E4</f>
        <v>0</v>
      </c>
      <c r="F19" s="1236">
        <f>RBBD!F4</f>
        <v>0</v>
      </c>
      <c r="G19" s="1236">
        <f>RBBD!G4</f>
        <v>0</v>
      </c>
      <c r="H19" s="1236">
        <f>RBBD!H4</f>
        <v>0</v>
      </c>
      <c r="I19" s="1236">
        <f t="shared" ref="I19:L60" si="2">E19*$M19</f>
        <v>0</v>
      </c>
      <c r="J19" s="1236">
        <f t="shared" si="2"/>
        <v>0</v>
      </c>
      <c r="K19" s="1236">
        <f t="shared" si="2"/>
        <v>0</v>
      </c>
      <c r="L19" s="1236">
        <f t="shared" si="2"/>
        <v>0</v>
      </c>
      <c r="M19" s="1236">
        <f t="shared" ref="M19:M60" si="3">SUM(N19:Y19)</f>
        <v>0</v>
      </c>
      <c r="N19" s="1236">
        <f>RBBD!I4</f>
        <v>0</v>
      </c>
      <c r="O19" s="1236">
        <f>RBBD!J4</f>
        <v>0</v>
      </c>
      <c r="P19" s="1236">
        <f>RBBD!K4</f>
        <v>0</v>
      </c>
      <c r="Q19" s="1236">
        <f>RBBD!L4</f>
        <v>0</v>
      </c>
      <c r="R19" s="1236">
        <f>RBBD!M4</f>
        <v>0</v>
      </c>
      <c r="S19" s="1236">
        <f>RBBD!N4</f>
        <v>0</v>
      </c>
      <c r="T19" s="1236">
        <f>RBBD!O4</f>
        <v>0</v>
      </c>
      <c r="U19" s="1236">
        <f>RBBD!P4</f>
        <v>0</v>
      </c>
      <c r="V19" s="1236">
        <f>RBBD!Q4</f>
        <v>0</v>
      </c>
      <c r="W19" s="1236">
        <f>RBBD!R4</f>
        <v>0</v>
      </c>
      <c r="X19" s="1236">
        <f>RBBD!S4</f>
        <v>0</v>
      </c>
      <c r="Y19" s="1236">
        <f>RBBD!T4</f>
        <v>0</v>
      </c>
      <c r="Z19" s="65"/>
      <c r="AA19" s="324">
        <f t="shared" si="1"/>
        <v>0</v>
      </c>
    </row>
    <row r="20" spans="2:27" hidden="1">
      <c r="B20" s="1236">
        <f>RBBD!B5</f>
        <v>0</v>
      </c>
      <c r="C20" s="1236">
        <f>RBBD!C5</f>
        <v>0</v>
      </c>
      <c r="D20" s="1236">
        <f>RBBD!D5</f>
        <v>0</v>
      </c>
      <c r="E20" s="1236">
        <f>RBBD!E5</f>
        <v>0</v>
      </c>
      <c r="F20" s="1236">
        <f>RBBD!F5</f>
        <v>0</v>
      </c>
      <c r="G20" s="1236">
        <f>RBBD!G5</f>
        <v>0</v>
      </c>
      <c r="H20" s="1236">
        <f>RBBD!H5</f>
        <v>0</v>
      </c>
      <c r="I20" s="1236">
        <f t="shared" si="2"/>
        <v>0</v>
      </c>
      <c r="J20" s="1236">
        <f t="shared" si="2"/>
        <v>0</v>
      </c>
      <c r="K20" s="1236">
        <f t="shared" si="2"/>
        <v>0</v>
      </c>
      <c r="L20" s="1236">
        <f t="shared" si="2"/>
        <v>0</v>
      </c>
      <c r="M20" s="1236">
        <f t="shared" si="3"/>
        <v>0</v>
      </c>
      <c r="N20" s="1236">
        <f>RBBD!I5</f>
        <v>0</v>
      </c>
      <c r="O20" s="1236">
        <f>RBBD!J5</f>
        <v>0</v>
      </c>
      <c r="P20" s="1236">
        <f>RBBD!K5</f>
        <v>0</v>
      </c>
      <c r="Q20" s="1236">
        <f>RBBD!L5</f>
        <v>0</v>
      </c>
      <c r="R20" s="1236">
        <f>RBBD!M5</f>
        <v>0</v>
      </c>
      <c r="S20" s="1236">
        <f>RBBD!N5</f>
        <v>0</v>
      </c>
      <c r="T20" s="1236">
        <f>RBBD!O5</f>
        <v>0</v>
      </c>
      <c r="U20" s="1236">
        <f>RBBD!P5</f>
        <v>0</v>
      </c>
      <c r="V20" s="1236">
        <f>RBBD!Q5</f>
        <v>0</v>
      </c>
      <c r="W20" s="1236">
        <f>RBBD!R5</f>
        <v>0</v>
      </c>
      <c r="X20" s="1236">
        <f>RBBD!S5</f>
        <v>0</v>
      </c>
      <c r="Y20" s="1236">
        <f>RBBD!T5</f>
        <v>0</v>
      </c>
      <c r="Z20" s="65"/>
      <c r="AA20" s="324">
        <f t="shared" si="1"/>
        <v>0</v>
      </c>
    </row>
    <row r="21" spans="2:27" hidden="1">
      <c r="B21" s="1236">
        <f>RBBD!B6</f>
        <v>0</v>
      </c>
      <c r="C21" s="1236">
        <f>RBBD!C6</f>
        <v>0</v>
      </c>
      <c r="D21" s="1236">
        <f>RBBD!D6</f>
        <v>0</v>
      </c>
      <c r="E21" s="1236">
        <f>RBBD!E6</f>
        <v>0</v>
      </c>
      <c r="F21" s="1236">
        <f>RBBD!F6</f>
        <v>0</v>
      </c>
      <c r="G21" s="1236">
        <f>RBBD!G6</f>
        <v>0</v>
      </c>
      <c r="H21" s="1236">
        <f>RBBD!H6</f>
        <v>0</v>
      </c>
      <c r="I21" s="1236">
        <f t="shared" si="2"/>
        <v>0</v>
      </c>
      <c r="J21" s="1236">
        <f t="shared" si="2"/>
        <v>0</v>
      </c>
      <c r="K21" s="1236">
        <f t="shared" si="2"/>
        <v>0</v>
      </c>
      <c r="L21" s="1236">
        <f t="shared" si="2"/>
        <v>0</v>
      </c>
      <c r="M21" s="1236">
        <f t="shared" si="3"/>
        <v>0</v>
      </c>
      <c r="N21" s="1236">
        <f>RBBD!I6</f>
        <v>0</v>
      </c>
      <c r="O21" s="1236">
        <f>RBBD!J6</f>
        <v>0</v>
      </c>
      <c r="P21" s="1236">
        <f>RBBD!K6</f>
        <v>0</v>
      </c>
      <c r="Q21" s="1236">
        <f>RBBD!L6</f>
        <v>0</v>
      </c>
      <c r="R21" s="1236">
        <f>RBBD!M6</f>
        <v>0</v>
      </c>
      <c r="S21" s="1236">
        <f>RBBD!N6</f>
        <v>0</v>
      </c>
      <c r="T21" s="1236">
        <f>RBBD!O6</f>
        <v>0</v>
      </c>
      <c r="U21" s="1236">
        <f>RBBD!P6</f>
        <v>0</v>
      </c>
      <c r="V21" s="1236">
        <f>RBBD!Q6</f>
        <v>0</v>
      </c>
      <c r="W21" s="1236">
        <f>RBBD!R6</f>
        <v>0</v>
      </c>
      <c r="X21" s="1236">
        <f>RBBD!S6</f>
        <v>0</v>
      </c>
      <c r="Y21" s="1236">
        <f>RBBD!T6</f>
        <v>0</v>
      </c>
      <c r="Z21" s="65"/>
      <c r="AA21" s="324">
        <f t="shared" si="1"/>
        <v>0</v>
      </c>
    </row>
    <row r="22" spans="2:27" hidden="1">
      <c r="B22" s="1236">
        <f>RBBD!B7</f>
        <v>0</v>
      </c>
      <c r="C22" s="1236">
        <f>RBBD!C7</f>
        <v>0</v>
      </c>
      <c r="D22" s="1236">
        <f>RBBD!D7</f>
        <v>0</v>
      </c>
      <c r="E22" s="1236">
        <f>RBBD!E7</f>
        <v>0</v>
      </c>
      <c r="F22" s="1236">
        <f>RBBD!F7</f>
        <v>0</v>
      </c>
      <c r="G22" s="1236">
        <f>RBBD!G7</f>
        <v>0</v>
      </c>
      <c r="H22" s="1236">
        <f>RBBD!H7</f>
        <v>0</v>
      </c>
      <c r="I22" s="1236">
        <f t="shared" si="2"/>
        <v>0</v>
      </c>
      <c r="J22" s="1236">
        <f t="shared" si="2"/>
        <v>0</v>
      </c>
      <c r="K22" s="1236">
        <f t="shared" si="2"/>
        <v>0</v>
      </c>
      <c r="L22" s="1236">
        <f t="shared" si="2"/>
        <v>0</v>
      </c>
      <c r="M22" s="1236">
        <f t="shared" si="3"/>
        <v>0</v>
      </c>
      <c r="N22" s="1236">
        <f>RBBD!I7</f>
        <v>0</v>
      </c>
      <c r="O22" s="1236">
        <f>RBBD!J7</f>
        <v>0</v>
      </c>
      <c r="P22" s="1236">
        <f>RBBD!K7</f>
        <v>0</v>
      </c>
      <c r="Q22" s="1236">
        <f>RBBD!L7</f>
        <v>0</v>
      </c>
      <c r="R22" s="1236">
        <f>RBBD!M7</f>
        <v>0</v>
      </c>
      <c r="S22" s="1236">
        <f>RBBD!N7</f>
        <v>0</v>
      </c>
      <c r="T22" s="1236">
        <f>RBBD!O7</f>
        <v>0</v>
      </c>
      <c r="U22" s="1236">
        <f>RBBD!P7</f>
        <v>0</v>
      </c>
      <c r="V22" s="1236">
        <f>RBBD!Q7</f>
        <v>0</v>
      </c>
      <c r="W22" s="1236">
        <f>RBBD!R7</f>
        <v>0</v>
      </c>
      <c r="X22" s="1236">
        <f>RBBD!S7</f>
        <v>0</v>
      </c>
      <c r="Y22" s="1236">
        <f>RBBD!T7</f>
        <v>0</v>
      </c>
      <c r="Z22" s="65"/>
      <c r="AA22" s="324">
        <f t="shared" si="1"/>
        <v>0</v>
      </c>
    </row>
    <row r="23" spans="2:27" hidden="1">
      <c r="B23" s="1236">
        <f>RBBD!B8</f>
        <v>0</v>
      </c>
      <c r="C23" s="1236">
        <f>RBBD!C8</f>
        <v>0</v>
      </c>
      <c r="D23" s="1236">
        <f>RBBD!D8</f>
        <v>0</v>
      </c>
      <c r="E23" s="1236">
        <f>RBBD!E8</f>
        <v>0</v>
      </c>
      <c r="F23" s="1236">
        <f>RBBD!F8</f>
        <v>0</v>
      </c>
      <c r="G23" s="1236">
        <f>RBBD!G8</f>
        <v>0</v>
      </c>
      <c r="H23" s="1236">
        <f>RBBD!H8</f>
        <v>0</v>
      </c>
      <c r="I23" s="1236">
        <f t="shared" si="2"/>
        <v>0</v>
      </c>
      <c r="J23" s="1236">
        <f t="shared" si="2"/>
        <v>0</v>
      </c>
      <c r="K23" s="1236">
        <f t="shared" si="2"/>
        <v>0</v>
      </c>
      <c r="L23" s="1236">
        <f t="shared" si="2"/>
        <v>0</v>
      </c>
      <c r="M23" s="1236">
        <f t="shared" si="3"/>
        <v>0</v>
      </c>
      <c r="N23" s="1236">
        <f>RBBD!I8</f>
        <v>0</v>
      </c>
      <c r="O23" s="1236">
        <f>RBBD!J8</f>
        <v>0</v>
      </c>
      <c r="P23" s="1236">
        <f>RBBD!K8</f>
        <v>0</v>
      </c>
      <c r="Q23" s="1236">
        <f>RBBD!L8</f>
        <v>0</v>
      </c>
      <c r="R23" s="1236">
        <f>RBBD!M8</f>
        <v>0</v>
      </c>
      <c r="S23" s="1236">
        <f>RBBD!N8</f>
        <v>0</v>
      </c>
      <c r="T23" s="1236">
        <f>RBBD!O8</f>
        <v>0</v>
      </c>
      <c r="U23" s="1236">
        <f>RBBD!P8</f>
        <v>0</v>
      </c>
      <c r="V23" s="1236">
        <f>RBBD!Q8</f>
        <v>0</v>
      </c>
      <c r="W23" s="1236">
        <f>RBBD!R8</f>
        <v>0</v>
      </c>
      <c r="X23" s="1236">
        <f>RBBD!S8</f>
        <v>0</v>
      </c>
      <c r="Y23" s="1236">
        <f>RBBD!T8</f>
        <v>0</v>
      </c>
      <c r="Z23" s="65"/>
      <c r="AA23" s="324">
        <f t="shared" si="1"/>
        <v>0</v>
      </c>
    </row>
    <row r="24" spans="2:27" hidden="1">
      <c r="B24" s="1236">
        <f>RBBD!B9</f>
        <v>0</v>
      </c>
      <c r="C24" s="1236">
        <f>RBBD!C9</f>
        <v>0</v>
      </c>
      <c r="D24" s="1236">
        <f>RBBD!D9</f>
        <v>0</v>
      </c>
      <c r="E24" s="1236">
        <f>RBBD!E9</f>
        <v>0</v>
      </c>
      <c r="F24" s="1236">
        <f>RBBD!F9</f>
        <v>0</v>
      </c>
      <c r="G24" s="1236">
        <f>RBBD!G9</f>
        <v>0</v>
      </c>
      <c r="H24" s="1236">
        <f>RBBD!H9</f>
        <v>0</v>
      </c>
      <c r="I24" s="1236">
        <f t="shared" si="2"/>
        <v>0</v>
      </c>
      <c r="J24" s="1236">
        <f t="shared" si="2"/>
        <v>0</v>
      </c>
      <c r="K24" s="1236">
        <f t="shared" si="2"/>
        <v>0</v>
      </c>
      <c r="L24" s="1236">
        <f t="shared" si="2"/>
        <v>0</v>
      </c>
      <c r="M24" s="1236">
        <f t="shared" si="3"/>
        <v>0</v>
      </c>
      <c r="N24" s="1236">
        <f>RBBD!I9</f>
        <v>0</v>
      </c>
      <c r="O24" s="1236">
        <f>RBBD!J9</f>
        <v>0</v>
      </c>
      <c r="P24" s="1236">
        <f>RBBD!K9</f>
        <v>0</v>
      </c>
      <c r="Q24" s="1236">
        <f>RBBD!L9</f>
        <v>0</v>
      </c>
      <c r="R24" s="1236">
        <f>RBBD!M9</f>
        <v>0</v>
      </c>
      <c r="S24" s="1236">
        <f>RBBD!N9</f>
        <v>0</v>
      </c>
      <c r="T24" s="1236">
        <f>RBBD!O9</f>
        <v>0</v>
      </c>
      <c r="U24" s="1236">
        <f>RBBD!P9</f>
        <v>0</v>
      </c>
      <c r="V24" s="1236">
        <f>RBBD!Q9</f>
        <v>0</v>
      </c>
      <c r="W24" s="1236">
        <f>RBBD!R9</f>
        <v>0</v>
      </c>
      <c r="X24" s="1236">
        <f>RBBD!S9</f>
        <v>0</v>
      </c>
      <c r="Y24" s="1236">
        <f>RBBD!T9</f>
        <v>0</v>
      </c>
      <c r="Z24" s="65"/>
      <c r="AA24" s="324">
        <f t="shared" ref="AA24:AA38" si="4">IF(B24=0,0,1)</f>
        <v>0</v>
      </c>
    </row>
    <row r="25" spans="2:27" hidden="1">
      <c r="B25" s="1236">
        <f>RBBD!B10</f>
        <v>0</v>
      </c>
      <c r="C25" s="1236">
        <f>RBBD!C10</f>
        <v>0</v>
      </c>
      <c r="D25" s="1236">
        <f>RBBD!D10</f>
        <v>0</v>
      </c>
      <c r="E25" s="1236">
        <f>RBBD!E10</f>
        <v>0</v>
      </c>
      <c r="F25" s="1236">
        <f>RBBD!F10</f>
        <v>0</v>
      </c>
      <c r="G25" s="1236">
        <f>RBBD!G10</f>
        <v>0</v>
      </c>
      <c r="H25" s="1236">
        <f>RBBD!H10</f>
        <v>0</v>
      </c>
      <c r="I25" s="1236">
        <f t="shared" si="2"/>
        <v>0</v>
      </c>
      <c r="J25" s="1236">
        <f t="shared" si="2"/>
        <v>0</v>
      </c>
      <c r="K25" s="1236">
        <f t="shared" si="2"/>
        <v>0</v>
      </c>
      <c r="L25" s="1236">
        <f t="shared" si="2"/>
        <v>0</v>
      </c>
      <c r="M25" s="1236">
        <f t="shared" si="3"/>
        <v>0</v>
      </c>
      <c r="N25" s="1236">
        <f>RBBD!I10</f>
        <v>0</v>
      </c>
      <c r="O25" s="1236">
        <f>RBBD!J10</f>
        <v>0</v>
      </c>
      <c r="P25" s="1236">
        <f>RBBD!K10</f>
        <v>0</v>
      </c>
      <c r="Q25" s="1236">
        <f>RBBD!L10</f>
        <v>0</v>
      </c>
      <c r="R25" s="1236">
        <f>RBBD!M10</f>
        <v>0</v>
      </c>
      <c r="S25" s="1236">
        <f>RBBD!N10</f>
        <v>0</v>
      </c>
      <c r="T25" s="1236">
        <f>RBBD!O10</f>
        <v>0</v>
      </c>
      <c r="U25" s="1236">
        <f>RBBD!P10</f>
        <v>0</v>
      </c>
      <c r="V25" s="1236">
        <f>RBBD!Q10</f>
        <v>0</v>
      </c>
      <c r="W25" s="1236">
        <f>RBBD!R10</f>
        <v>0</v>
      </c>
      <c r="X25" s="1236">
        <f>RBBD!S10</f>
        <v>0</v>
      </c>
      <c r="Y25" s="1236">
        <f>RBBD!T10</f>
        <v>0</v>
      </c>
      <c r="Z25" s="65"/>
      <c r="AA25" s="324">
        <f t="shared" si="4"/>
        <v>0</v>
      </c>
    </row>
    <row r="26" spans="2:27" hidden="1">
      <c r="B26" s="1236">
        <f>RBBD!B11</f>
        <v>0</v>
      </c>
      <c r="C26" s="1236">
        <f>RBBD!C11</f>
        <v>0</v>
      </c>
      <c r="D26" s="1236">
        <f>RBBD!D11</f>
        <v>0</v>
      </c>
      <c r="E26" s="1236">
        <f>RBBD!E11</f>
        <v>0</v>
      </c>
      <c r="F26" s="1236">
        <f>RBBD!F11</f>
        <v>0</v>
      </c>
      <c r="G26" s="1236">
        <f>RBBD!G11</f>
        <v>0</v>
      </c>
      <c r="H26" s="1236">
        <f>RBBD!H11</f>
        <v>0</v>
      </c>
      <c r="I26" s="1236">
        <f t="shared" si="2"/>
        <v>0</v>
      </c>
      <c r="J26" s="1236">
        <f t="shared" si="2"/>
        <v>0</v>
      </c>
      <c r="K26" s="1236">
        <f t="shared" si="2"/>
        <v>0</v>
      </c>
      <c r="L26" s="1236">
        <f t="shared" si="2"/>
        <v>0</v>
      </c>
      <c r="M26" s="1236">
        <f t="shared" si="3"/>
        <v>0</v>
      </c>
      <c r="N26" s="1236">
        <f>RBBD!I11</f>
        <v>0</v>
      </c>
      <c r="O26" s="1236">
        <f>RBBD!J11</f>
        <v>0</v>
      </c>
      <c r="P26" s="1236">
        <f>RBBD!K11</f>
        <v>0</v>
      </c>
      <c r="Q26" s="1236">
        <f>RBBD!L11</f>
        <v>0</v>
      </c>
      <c r="R26" s="1236">
        <f>RBBD!M11</f>
        <v>0</v>
      </c>
      <c r="S26" s="1236">
        <f>RBBD!N11</f>
        <v>0</v>
      </c>
      <c r="T26" s="1236">
        <f>RBBD!O11</f>
        <v>0</v>
      </c>
      <c r="U26" s="1236">
        <f>RBBD!P11</f>
        <v>0</v>
      </c>
      <c r="V26" s="1236">
        <f>RBBD!Q11</f>
        <v>0</v>
      </c>
      <c r="W26" s="1236">
        <f>RBBD!R11</f>
        <v>0</v>
      </c>
      <c r="X26" s="1236">
        <f>RBBD!S11</f>
        <v>0</v>
      </c>
      <c r="Y26" s="1236">
        <f>RBBD!T11</f>
        <v>0</v>
      </c>
      <c r="Z26" s="65"/>
      <c r="AA26" s="324">
        <f t="shared" si="4"/>
        <v>0</v>
      </c>
    </row>
    <row r="27" spans="2:27" hidden="1">
      <c r="B27" s="1236">
        <f>RBBD!B12</f>
        <v>0</v>
      </c>
      <c r="C27" s="1236">
        <f>RBBD!C12</f>
        <v>0</v>
      </c>
      <c r="D27" s="1236">
        <f>RBBD!D12</f>
        <v>0</v>
      </c>
      <c r="E27" s="1236">
        <f>RBBD!E12</f>
        <v>0</v>
      </c>
      <c r="F27" s="1236">
        <f>RBBD!F12</f>
        <v>0</v>
      </c>
      <c r="G27" s="1236">
        <f>RBBD!G12</f>
        <v>0</v>
      </c>
      <c r="H27" s="1236">
        <f>RBBD!H12</f>
        <v>0</v>
      </c>
      <c r="I27" s="1236">
        <f t="shared" si="2"/>
        <v>0</v>
      </c>
      <c r="J27" s="1236">
        <f t="shared" si="2"/>
        <v>0</v>
      </c>
      <c r="K27" s="1236">
        <f t="shared" si="2"/>
        <v>0</v>
      </c>
      <c r="L27" s="1236">
        <f t="shared" si="2"/>
        <v>0</v>
      </c>
      <c r="M27" s="1236">
        <f t="shared" si="3"/>
        <v>0</v>
      </c>
      <c r="N27" s="1236">
        <f>RBBD!I12</f>
        <v>0</v>
      </c>
      <c r="O27" s="1236">
        <f>RBBD!J12</f>
        <v>0</v>
      </c>
      <c r="P27" s="1236">
        <f>RBBD!K12</f>
        <v>0</v>
      </c>
      <c r="Q27" s="1236">
        <f>RBBD!L12</f>
        <v>0</v>
      </c>
      <c r="R27" s="1236">
        <f>RBBD!M12</f>
        <v>0</v>
      </c>
      <c r="S27" s="1236">
        <f>RBBD!N12</f>
        <v>0</v>
      </c>
      <c r="T27" s="1236">
        <f>RBBD!O12</f>
        <v>0</v>
      </c>
      <c r="U27" s="1236">
        <f>RBBD!P12</f>
        <v>0</v>
      </c>
      <c r="V27" s="1236">
        <f>RBBD!Q12</f>
        <v>0</v>
      </c>
      <c r="W27" s="1236">
        <f>RBBD!R12</f>
        <v>0</v>
      </c>
      <c r="X27" s="1236">
        <f>RBBD!S12</f>
        <v>0</v>
      </c>
      <c r="Y27" s="1236">
        <f>RBBD!T12</f>
        <v>0</v>
      </c>
      <c r="Z27" s="65"/>
      <c r="AA27" s="324">
        <f t="shared" si="4"/>
        <v>0</v>
      </c>
    </row>
    <row r="28" spans="2:27" hidden="1">
      <c r="B28" s="1236">
        <f>RBBD!B13</f>
        <v>0</v>
      </c>
      <c r="C28" s="1236">
        <f>RBBD!C13</f>
        <v>0</v>
      </c>
      <c r="D28" s="1236">
        <f>RBBD!D13</f>
        <v>0</v>
      </c>
      <c r="E28" s="1236">
        <f>RBBD!G13</f>
        <v>0</v>
      </c>
      <c r="F28" s="1236">
        <f>RBBD!H13</f>
        <v>0</v>
      </c>
      <c r="G28" s="1236">
        <f>RBBD!E13</f>
        <v>0</v>
      </c>
      <c r="H28" s="1236">
        <f>RBBD!F13</f>
        <v>0</v>
      </c>
      <c r="I28" s="1236">
        <f t="shared" si="2"/>
        <v>0</v>
      </c>
      <c r="J28" s="1236">
        <f t="shared" si="2"/>
        <v>0</v>
      </c>
      <c r="K28" s="1236">
        <f t="shared" si="2"/>
        <v>0</v>
      </c>
      <c r="L28" s="1236">
        <f t="shared" si="2"/>
        <v>0</v>
      </c>
      <c r="M28" s="1236">
        <f t="shared" si="3"/>
        <v>0</v>
      </c>
      <c r="N28" s="1236">
        <f>RBBD!I13</f>
        <v>0</v>
      </c>
      <c r="O28" s="1236">
        <f>RBBD!J13</f>
        <v>0</v>
      </c>
      <c r="P28" s="1236">
        <f>RBBD!K13</f>
        <v>0</v>
      </c>
      <c r="Q28" s="1236">
        <f>RBBD!L13</f>
        <v>0</v>
      </c>
      <c r="R28" s="1236">
        <f>RBBD!M13</f>
        <v>0</v>
      </c>
      <c r="S28" s="1236">
        <f>RBBD!N13</f>
        <v>0</v>
      </c>
      <c r="T28" s="1236">
        <f>RBBD!O13</f>
        <v>0</v>
      </c>
      <c r="U28" s="1236">
        <f>RBBD!P13</f>
        <v>0</v>
      </c>
      <c r="V28" s="1236">
        <f>RBBD!Q13</f>
        <v>0</v>
      </c>
      <c r="W28" s="1236">
        <f>RBBD!R13</f>
        <v>0</v>
      </c>
      <c r="X28" s="1236">
        <f>RBBD!S13</f>
        <v>0</v>
      </c>
      <c r="Y28" s="1236">
        <f>RBBD!T13</f>
        <v>0</v>
      </c>
      <c r="Z28" s="65"/>
      <c r="AA28" s="324">
        <f t="shared" si="4"/>
        <v>0</v>
      </c>
    </row>
    <row r="29" spans="2:27" hidden="1">
      <c r="B29" s="1236">
        <f>RBBD!B14</f>
        <v>0</v>
      </c>
      <c r="C29" s="1236">
        <f>RBBD!C14</f>
        <v>0</v>
      </c>
      <c r="D29" s="1236">
        <f>RBBD!D14</f>
        <v>0</v>
      </c>
      <c r="E29" s="1236">
        <f>RBBD!G14</f>
        <v>0</v>
      </c>
      <c r="F29" s="1236">
        <f>RBBD!H14</f>
        <v>0</v>
      </c>
      <c r="G29" s="1236">
        <f>RBBD!E14</f>
        <v>0</v>
      </c>
      <c r="H29" s="1236">
        <f>RBBD!F14</f>
        <v>0</v>
      </c>
      <c r="I29" s="1236">
        <f t="shared" si="2"/>
        <v>0</v>
      </c>
      <c r="J29" s="1236">
        <f t="shared" si="2"/>
        <v>0</v>
      </c>
      <c r="K29" s="1236">
        <f t="shared" si="2"/>
        <v>0</v>
      </c>
      <c r="L29" s="1236">
        <f t="shared" si="2"/>
        <v>0</v>
      </c>
      <c r="M29" s="1236">
        <f t="shared" si="3"/>
        <v>0</v>
      </c>
      <c r="N29" s="1236">
        <f>RBBD!I14</f>
        <v>0</v>
      </c>
      <c r="O29" s="1236">
        <f>RBBD!J14</f>
        <v>0</v>
      </c>
      <c r="P29" s="1236">
        <f>RBBD!K14</f>
        <v>0</v>
      </c>
      <c r="Q29" s="1236">
        <f>RBBD!L14</f>
        <v>0</v>
      </c>
      <c r="R29" s="1236">
        <f>RBBD!M14</f>
        <v>0</v>
      </c>
      <c r="S29" s="1236">
        <f>RBBD!N14</f>
        <v>0</v>
      </c>
      <c r="T29" s="1236">
        <f>RBBD!O14</f>
        <v>0</v>
      </c>
      <c r="U29" s="1236">
        <f>RBBD!P14</f>
        <v>0</v>
      </c>
      <c r="V29" s="1236">
        <f>RBBD!Q14</f>
        <v>0</v>
      </c>
      <c r="W29" s="1236">
        <f>RBBD!R14</f>
        <v>0</v>
      </c>
      <c r="X29" s="1236">
        <f>RBBD!S14</f>
        <v>0</v>
      </c>
      <c r="Y29" s="1236">
        <f>RBBD!T14</f>
        <v>0</v>
      </c>
      <c r="Z29" s="65"/>
      <c r="AA29" s="324">
        <f t="shared" si="4"/>
        <v>0</v>
      </c>
    </row>
    <row r="30" spans="2:27" hidden="1">
      <c r="B30" s="1236">
        <f>RBBD!B15</f>
        <v>0</v>
      </c>
      <c r="C30" s="1236">
        <f>RBBD!C15</f>
        <v>0</v>
      </c>
      <c r="D30" s="1236">
        <f>RBBD!D15</f>
        <v>0</v>
      </c>
      <c r="E30" s="1236">
        <f>RBBD!G15</f>
        <v>0</v>
      </c>
      <c r="F30" s="1236">
        <f>RBBD!H15</f>
        <v>0</v>
      </c>
      <c r="G30" s="1236">
        <f>RBBD!E15</f>
        <v>0</v>
      </c>
      <c r="H30" s="1236">
        <f>RBBD!F15</f>
        <v>0</v>
      </c>
      <c r="I30" s="1236">
        <f t="shared" si="2"/>
        <v>0</v>
      </c>
      <c r="J30" s="1236">
        <f t="shared" si="2"/>
        <v>0</v>
      </c>
      <c r="K30" s="1236">
        <f t="shared" si="2"/>
        <v>0</v>
      </c>
      <c r="L30" s="1236">
        <f t="shared" si="2"/>
        <v>0</v>
      </c>
      <c r="M30" s="1236">
        <f t="shared" si="3"/>
        <v>0</v>
      </c>
      <c r="N30" s="1236">
        <f>RBBD!I15</f>
        <v>0</v>
      </c>
      <c r="O30" s="1236">
        <f>RBBD!J15</f>
        <v>0</v>
      </c>
      <c r="P30" s="1236">
        <f>RBBD!K15</f>
        <v>0</v>
      </c>
      <c r="Q30" s="1236">
        <f>RBBD!L15</f>
        <v>0</v>
      </c>
      <c r="R30" s="1236">
        <f>RBBD!M15</f>
        <v>0</v>
      </c>
      <c r="S30" s="1236">
        <f>RBBD!N15</f>
        <v>0</v>
      </c>
      <c r="T30" s="1236">
        <f>RBBD!O15</f>
        <v>0</v>
      </c>
      <c r="U30" s="1236">
        <f>RBBD!P15</f>
        <v>0</v>
      </c>
      <c r="V30" s="1236">
        <f>RBBD!Q15</f>
        <v>0</v>
      </c>
      <c r="W30" s="1236">
        <f>RBBD!R15</f>
        <v>0</v>
      </c>
      <c r="X30" s="1236">
        <f>RBBD!S15</f>
        <v>0</v>
      </c>
      <c r="Y30" s="1236">
        <f>RBBD!T15</f>
        <v>0</v>
      </c>
      <c r="Z30" s="65"/>
      <c r="AA30" s="324">
        <f t="shared" si="4"/>
        <v>0</v>
      </c>
    </row>
    <row r="31" spans="2:27" hidden="1">
      <c r="B31" s="1236">
        <f>RBBD!B16</f>
        <v>0</v>
      </c>
      <c r="C31" s="1236">
        <f>RBBD!C16</f>
        <v>0</v>
      </c>
      <c r="D31" s="1236">
        <f>RBBD!D16</f>
        <v>0</v>
      </c>
      <c r="E31" s="1236">
        <f>RBBD!G16</f>
        <v>0</v>
      </c>
      <c r="F31" s="1236">
        <f>RBBD!H16</f>
        <v>0</v>
      </c>
      <c r="G31" s="1236">
        <f>RBBD!E16</f>
        <v>0</v>
      </c>
      <c r="H31" s="1236">
        <f>RBBD!F16</f>
        <v>0</v>
      </c>
      <c r="I31" s="1236">
        <f t="shared" si="2"/>
        <v>0</v>
      </c>
      <c r="J31" s="1236">
        <f t="shared" si="2"/>
        <v>0</v>
      </c>
      <c r="K31" s="1236">
        <f t="shared" si="2"/>
        <v>0</v>
      </c>
      <c r="L31" s="1236">
        <f t="shared" si="2"/>
        <v>0</v>
      </c>
      <c r="M31" s="1236">
        <f t="shared" si="3"/>
        <v>0</v>
      </c>
      <c r="N31" s="1236">
        <f>RBBD!I16</f>
        <v>0</v>
      </c>
      <c r="O31" s="1236">
        <f>RBBD!J16</f>
        <v>0</v>
      </c>
      <c r="P31" s="1236">
        <f>RBBD!K16</f>
        <v>0</v>
      </c>
      <c r="Q31" s="1236">
        <f>RBBD!L16</f>
        <v>0</v>
      </c>
      <c r="R31" s="1236">
        <f>RBBD!M16</f>
        <v>0</v>
      </c>
      <c r="S31" s="1236">
        <f>RBBD!N16</f>
        <v>0</v>
      </c>
      <c r="T31" s="1236">
        <f>RBBD!O16</f>
        <v>0</v>
      </c>
      <c r="U31" s="1236">
        <f>RBBD!P16</f>
        <v>0</v>
      </c>
      <c r="V31" s="1236">
        <f>RBBD!Q16</f>
        <v>0</v>
      </c>
      <c r="W31" s="1236">
        <f>RBBD!R16</f>
        <v>0</v>
      </c>
      <c r="X31" s="1236">
        <f>RBBD!S16</f>
        <v>0</v>
      </c>
      <c r="Y31" s="1236">
        <f>RBBD!T16</f>
        <v>0</v>
      </c>
      <c r="Z31" s="65"/>
      <c r="AA31" s="324">
        <f t="shared" si="4"/>
        <v>0</v>
      </c>
    </row>
    <row r="32" spans="2:27" hidden="1">
      <c r="B32" s="1236">
        <f>RBBD!B17</f>
        <v>0</v>
      </c>
      <c r="C32" s="1236">
        <f>RBBD!C17</f>
        <v>0</v>
      </c>
      <c r="D32" s="1236">
        <f>RBBD!D17</f>
        <v>0</v>
      </c>
      <c r="E32" s="1236">
        <f>RBBD!G17</f>
        <v>0</v>
      </c>
      <c r="F32" s="1236">
        <f>RBBD!H17</f>
        <v>0</v>
      </c>
      <c r="G32" s="1236">
        <f>RBBD!E17</f>
        <v>0</v>
      </c>
      <c r="H32" s="1236">
        <f>RBBD!F17</f>
        <v>0</v>
      </c>
      <c r="I32" s="1236">
        <f t="shared" si="2"/>
        <v>0</v>
      </c>
      <c r="J32" s="1236">
        <f t="shared" si="2"/>
        <v>0</v>
      </c>
      <c r="K32" s="1236">
        <f t="shared" si="2"/>
        <v>0</v>
      </c>
      <c r="L32" s="1236">
        <f t="shared" si="2"/>
        <v>0</v>
      </c>
      <c r="M32" s="1236">
        <f t="shared" si="3"/>
        <v>0</v>
      </c>
      <c r="N32" s="1236">
        <f>RBBD!I17</f>
        <v>0</v>
      </c>
      <c r="O32" s="1236">
        <f>RBBD!J17</f>
        <v>0</v>
      </c>
      <c r="P32" s="1236">
        <f>RBBD!K17</f>
        <v>0</v>
      </c>
      <c r="Q32" s="1236">
        <f>RBBD!L17</f>
        <v>0</v>
      </c>
      <c r="R32" s="1236">
        <f>RBBD!M17</f>
        <v>0</v>
      </c>
      <c r="S32" s="1236">
        <f>RBBD!N17</f>
        <v>0</v>
      </c>
      <c r="T32" s="1236">
        <f>RBBD!O17</f>
        <v>0</v>
      </c>
      <c r="U32" s="1236">
        <f>RBBD!P17</f>
        <v>0</v>
      </c>
      <c r="V32" s="1236">
        <f>RBBD!Q17</f>
        <v>0</v>
      </c>
      <c r="W32" s="1236">
        <f>RBBD!R17</f>
        <v>0</v>
      </c>
      <c r="X32" s="1236">
        <f>RBBD!S17</f>
        <v>0</v>
      </c>
      <c r="Y32" s="1236">
        <f>RBBD!T17</f>
        <v>0</v>
      </c>
      <c r="Z32" s="65"/>
      <c r="AA32" s="324">
        <f t="shared" si="4"/>
        <v>0</v>
      </c>
    </row>
    <row r="33" spans="2:27" hidden="1">
      <c r="B33" s="1236">
        <f>RBBD!B18</f>
        <v>0</v>
      </c>
      <c r="C33" s="1236">
        <f>RBBD!C18</f>
        <v>0</v>
      </c>
      <c r="D33" s="1236">
        <f>RBBD!D18</f>
        <v>0</v>
      </c>
      <c r="E33" s="1236">
        <f>RBBD!G18</f>
        <v>0</v>
      </c>
      <c r="F33" s="1236">
        <f>RBBD!H18</f>
        <v>0</v>
      </c>
      <c r="G33" s="1236">
        <f>RBBD!E18</f>
        <v>0</v>
      </c>
      <c r="H33" s="1236">
        <f>RBBD!F18</f>
        <v>0</v>
      </c>
      <c r="I33" s="1236">
        <f t="shared" si="2"/>
        <v>0</v>
      </c>
      <c r="J33" s="1236">
        <f t="shared" si="2"/>
        <v>0</v>
      </c>
      <c r="K33" s="1236">
        <f t="shared" si="2"/>
        <v>0</v>
      </c>
      <c r="L33" s="1236">
        <f t="shared" si="2"/>
        <v>0</v>
      </c>
      <c r="M33" s="1236">
        <f t="shared" si="3"/>
        <v>0</v>
      </c>
      <c r="N33" s="1236">
        <f>RBBD!I18</f>
        <v>0</v>
      </c>
      <c r="O33" s="1236">
        <f>RBBD!J18</f>
        <v>0</v>
      </c>
      <c r="P33" s="1236">
        <f>RBBD!K18</f>
        <v>0</v>
      </c>
      <c r="Q33" s="1236">
        <f>RBBD!L18</f>
        <v>0</v>
      </c>
      <c r="R33" s="1236">
        <f>RBBD!M18</f>
        <v>0</v>
      </c>
      <c r="S33" s="1236">
        <f>RBBD!N18</f>
        <v>0</v>
      </c>
      <c r="T33" s="1236">
        <f>RBBD!O18</f>
        <v>0</v>
      </c>
      <c r="U33" s="1236">
        <f>RBBD!P18</f>
        <v>0</v>
      </c>
      <c r="V33" s="1236">
        <f>RBBD!Q18</f>
        <v>0</v>
      </c>
      <c r="W33" s="1236">
        <f>RBBD!R18</f>
        <v>0</v>
      </c>
      <c r="X33" s="1236">
        <f>RBBD!S18</f>
        <v>0</v>
      </c>
      <c r="Y33" s="1236">
        <f>RBBD!T18</f>
        <v>0</v>
      </c>
      <c r="Z33" s="65"/>
      <c r="AA33" s="324">
        <f t="shared" si="4"/>
        <v>0</v>
      </c>
    </row>
    <row r="34" spans="2:27" hidden="1">
      <c r="B34" s="1236">
        <f>RBBD!B19</f>
        <v>0</v>
      </c>
      <c r="C34" s="1236">
        <f>RBBD!C19</f>
        <v>0</v>
      </c>
      <c r="D34" s="1236">
        <f>RBBD!D19</f>
        <v>0</v>
      </c>
      <c r="E34" s="1236">
        <f>RBBD!G19</f>
        <v>0</v>
      </c>
      <c r="F34" s="1236">
        <f>RBBD!H19</f>
        <v>0</v>
      </c>
      <c r="G34" s="1236">
        <f>RBBD!E19</f>
        <v>0</v>
      </c>
      <c r="H34" s="1236">
        <f>RBBD!F19</f>
        <v>0</v>
      </c>
      <c r="I34" s="1236">
        <f t="shared" si="2"/>
        <v>0</v>
      </c>
      <c r="J34" s="1236">
        <f t="shared" si="2"/>
        <v>0</v>
      </c>
      <c r="K34" s="1236">
        <f t="shared" si="2"/>
        <v>0</v>
      </c>
      <c r="L34" s="1236">
        <f t="shared" si="2"/>
        <v>0</v>
      </c>
      <c r="M34" s="1236">
        <f t="shared" si="3"/>
        <v>0</v>
      </c>
      <c r="N34" s="1236">
        <f>RBBD!I19</f>
        <v>0</v>
      </c>
      <c r="O34" s="1236">
        <f>RBBD!J19</f>
        <v>0</v>
      </c>
      <c r="P34" s="1236">
        <f>RBBD!K19</f>
        <v>0</v>
      </c>
      <c r="Q34" s="1236">
        <f>RBBD!L19</f>
        <v>0</v>
      </c>
      <c r="R34" s="1236">
        <f>RBBD!M19</f>
        <v>0</v>
      </c>
      <c r="S34" s="1236">
        <f>RBBD!N19</f>
        <v>0</v>
      </c>
      <c r="T34" s="1236">
        <f>RBBD!O19</f>
        <v>0</v>
      </c>
      <c r="U34" s="1236">
        <f>RBBD!P19</f>
        <v>0</v>
      </c>
      <c r="V34" s="1236">
        <f>RBBD!Q19</f>
        <v>0</v>
      </c>
      <c r="W34" s="1236">
        <f>RBBD!R19</f>
        <v>0</v>
      </c>
      <c r="X34" s="1236">
        <f>RBBD!S19</f>
        <v>0</v>
      </c>
      <c r="Y34" s="1236">
        <f>RBBD!T19</f>
        <v>0</v>
      </c>
      <c r="Z34" s="65"/>
      <c r="AA34" s="324">
        <f t="shared" si="4"/>
        <v>0</v>
      </c>
    </row>
    <row r="35" spans="2:27" hidden="1">
      <c r="B35" s="1236">
        <f>RBBD!B20</f>
        <v>0</v>
      </c>
      <c r="C35" s="1236">
        <f>RBBD!C20</f>
        <v>0</v>
      </c>
      <c r="D35" s="1236">
        <f>RBBD!D20</f>
        <v>0</v>
      </c>
      <c r="E35" s="1236">
        <f>RBBD!G20</f>
        <v>0</v>
      </c>
      <c r="F35" s="1236">
        <f>RBBD!H20</f>
        <v>0</v>
      </c>
      <c r="G35" s="1236">
        <f>RBBD!E20</f>
        <v>0</v>
      </c>
      <c r="H35" s="1236">
        <f>RBBD!F20</f>
        <v>0</v>
      </c>
      <c r="I35" s="1236">
        <f t="shared" si="2"/>
        <v>0</v>
      </c>
      <c r="J35" s="1236">
        <f t="shared" si="2"/>
        <v>0</v>
      </c>
      <c r="K35" s="1236">
        <f t="shared" si="2"/>
        <v>0</v>
      </c>
      <c r="L35" s="1236">
        <f t="shared" si="2"/>
        <v>0</v>
      </c>
      <c r="M35" s="1236">
        <f t="shared" si="3"/>
        <v>0</v>
      </c>
      <c r="N35" s="1236">
        <f>RBBD!I20</f>
        <v>0</v>
      </c>
      <c r="O35" s="1236">
        <f>RBBD!J20</f>
        <v>0</v>
      </c>
      <c r="P35" s="1236">
        <f>RBBD!K20</f>
        <v>0</v>
      </c>
      <c r="Q35" s="1236">
        <f>RBBD!L20</f>
        <v>0</v>
      </c>
      <c r="R35" s="1236">
        <f>RBBD!M20</f>
        <v>0</v>
      </c>
      <c r="S35" s="1236">
        <f>RBBD!N20</f>
        <v>0</v>
      </c>
      <c r="T35" s="1236">
        <f>RBBD!O20</f>
        <v>0</v>
      </c>
      <c r="U35" s="1236">
        <f>RBBD!P20</f>
        <v>0</v>
      </c>
      <c r="V35" s="1236">
        <f>RBBD!Q20</f>
        <v>0</v>
      </c>
      <c r="W35" s="1236">
        <f>RBBD!R20</f>
        <v>0</v>
      </c>
      <c r="X35" s="1236">
        <f>RBBD!S20</f>
        <v>0</v>
      </c>
      <c r="Y35" s="1236">
        <f>RBBD!T20</f>
        <v>0</v>
      </c>
      <c r="Z35" s="65"/>
      <c r="AA35" s="324">
        <f t="shared" si="4"/>
        <v>0</v>
      </c>
    </row>
    <row r="36" spans="2:27" hidden="1">
      <c r="B36" s="1236">
        <f>RBBD!B21</f>
        <v>0</v>
      </c>
      <c r="C36" s="1236">
        <f>RBBD!C21</f>
        <v>0</v>
      </c>
      <c r="D36" s="1236">
        <f>RBBD!D21</f>
        <v>0</v>
      </c>
      <c r="E36" s="1236">
        <f>RBBD!G21</f>
        <v>0</v>
      </c>
      <c r="F36" s="1236">
        <f>RBBD!H21</f>
        <v>0</v>
      </c>
      <c r="G36" s="1236">
        <f>RBBD!E21</f>
        <v>0</v>
      </c>
      <c r="H36" s="1236">
        <f>RBBD!F21</f>
        <v>0</v>
      </c>
      <c r="I36" s="1236">
        <f t="shared" si="2"/>
        <v>0</v>
      </c>
      <c r="J36" s="1236">
        <f t="shared" si="2"/>
        <v>0</v>
      </c>
      <c r="K36" s="1236">
        <f t="shared" si="2"/>
        <v>0</v>
      </c>
      <c r="L36" s="1236">
        <f t="shared" si="2"/>
        <v>0</v>
      </c>
      <c r="M36" s="1236">
        <f t="shared" si="3"/>
        <v>0</v>
      </c>
      <c r="N36" s="1236">
        <f>RBBD!I21</f>
        <v>0</v>
      </c>
      <c r="O36" s="1236">
        <f>RBBD!J21</f>
        <v>0</v>
      </c>
      <c r="P36" s="1236">
        <f>RBBD!K21</f>
        <v>0</v>
      </c>
      <c r="Q36" s="1236">
        <f>RBBD!L21</f>
        <v>0</v>
      </c>
      <c r="R36" s="1236">
        <f>RBBD!M21</f>
        <v>0</v>
      </c>
      <c r="S36" s="1236">
        <f>RBBD!N21</f>
        <v>0</v>
      </c>
      <c r="T36" s="1236">
        <f>RBBD!O21</f>
        <v>0</v>
      </c>
      <c r="U36" s="1236">
        <f>RBBD!P21</f>
        <v>0</v>
      </c>
      <c r="V36" s="1236">
        <f>RBBD!Q21</f>
        <v>0</v>
      </c>
      <c r="W36" s="1236">
        <f>RBBD!R21</f>
        <v>0</v>
      </c>
      <c r="X36" s="1236">
        <f>RBBD!S21</f>
        <v>0</v>
      </c>
      <c r="Y36" s="1236">
        <f>RBBD!T21</f>
        <v>0</v>
      </c>
      <c r="Z36" s="65"/>
      <c r="AA36" s="324">
        <f t="shared" si="4"/>
        <v>0</v>
      </c>
    </row>
    <row r="37" spans="2:27" hidden="1">
      <c r="B37" s="1236">
        <f>RBBD!B22</f>
        <v>0</v>
      </c>
      <c r="C37" s="1236">
        <f>RBBD!C22</f>
        <v>0</v>
      </c>
      <c r="D37" s="1236">
        <f>RBBD!D22</f>
        <v>0</v>
      </c>
      <c r="E37" s="1236">
        <f>RBBD!G22</f>
        <v>0</v>
      </c>
      <c r="F37" s="1236">
        <f>RBBD!H22</f>
        <v>0</v>
      </c>
      <c r="G37" s="1236">
        <f>RBBD!E22</f>
        <v>0</v>
      </c>
      <c r="H37" s="1236">
        <f>RBBD!F22</f>
        <v>0</v>
      </c>
      <c r="I37" s="1236">
        <f t="shared" si="2"/>
        <v>0</v>
      </c>
      <c r="J37" s="1236">
        <f t="shared" si="2"/>
        <v>0</v>
      </c>
      <c r="K37" s="1236">
        <f t="shared" si="2"/>
        <v>0</v>
      </c>
      <c r="L37" s="1236">
        <f t="shared" si="2"/>
        <v>0</v>
      </c>
      <c r="M37" s="1236">
        <f t="shared" si="3"/>
        <v>0</v>
      </c>
      <c r="N37" s="1236">
        <f>RBBD!I22</f>
        <v>0</v>
      </c>
      <c r="O37" s="1236">
        <f>RBBD!J22</f>
        <v>0</v>
      </c>
      <c r="P37" s="1236">
        <f>RBBD!K22</f>
        <v>0</v>
      </c>
      <c r="Q37" s="1236">
        <f>RBBD!L22</f>
        <v>0</v>
      </c>
      <c r="R37" s="1236">
        <f>RBBD!M22</f>
        <v>0</v>
      </c>
      <c r="S37" s="1236">
        <f>RBBD!N22</f>
        <v>0</v>
      </c>
      <c r="T37" s="1236">
        <f>RBBD!O22</f>
        <v>0</v>
      </c>
      <c r="U37" s="1236">
        <f>RBBD!P22</f>
        <v>0</v>
      </c>
      <c r="V37" s="1236">
        <f>RBBD!Q22</f>
        <v>0</v>
      </c>
      <c r="W37" s="1236">
        <f>RBBD!R22</f>
        <v>0</v>
      </c>
      <c r="X37" s="1236">
        <f>RBBD!S22</f>
        <v>0</v>
      </c>
      <c r="Y37" s="1236">
        <f>RBBD!T22</f>
        <v>0</v>
      </c>
      <c r="Z37" s="65"/>
      <c r="AA37" s="324">
        <f t="shared" si="4"/>
        <v>0</v>
      </c>
    </row>
    <row r="38" spans="2:27" hidden="1">
      <c r="B38" s="1236">
        <f>RBBD!B23</f>
        <v>0</v>
      </c>
      <c r="C38" s="1236">
        <f>RBBD!C23</f>
        <v>0</v>
      </c>
      <c r="D38" s="1236">
        <f>RBBD!D23</f>
        <v>0</v>
      </c>
      <c r="E38" s="1236">
        <f>RBBD!G23</f>
        <v>0</v>
      </c>
      <c r="F38" s="1236">
        <f>RBBD!H23</f>
        <v>0</v>
      </c>
      <c r="G38" s="1236">
        <f>RBBD!E23</f>
        <v>0</v>
      </c>
      <c r="H38" s="1236">
        <f>RBBD!F23</f>
        <v>0</v>
      </c>
      <c r="I38" s="1236">
        <f t="shared" si="2"/>
        <v>0</v>
      </c>
      <c r="J38" s="1236">
        <f t="shared" si="2"/>
        <v>0</v>
      </c>
      <c r="K38" s="1236">
        <f t="shared" si="2"/>
        <v>0</v>
      </c>
      <c r="L38" s="1236">
        <f t="shared" si="2"/>
        <v>0</v>
      </c>
      <c r="M38" s="1236">
        <f t="shared" si="3"/>
        <v>0</v>
      </c>
      <c r="N38" s="1236">
        <f>RBBD!I23</f>
        <v>0</v>
      </c>
      <c r="O38" s="1236">
        <f>RBBD!J23</f>
        <v>0</v>
      </c>
      <c r="P38" s="1236">
        <f>RBBD!K23</f>
        <v>0</v>
      </c>
      <c r="Q38" s="1236">
        <f>RBBD!L23</f>
        <v>0</v>
      </c>
      <c r="R38" s="1236">
        <f>RBBD!M23</f>
        <v>0</v>
      </c>
      <c r="S38" s="1236">
        <f>RBBD!N23</f>
        <v>0</v>
      </c>
      <c r="T38" s="1236">
        <f>RBBD!O23</f>
        <v>0</v>
      </c>
      <c r="U38" s="1236">
        <f>RBBD!P23</f>
        <v>0</v>
      </c>
      <c r="V38" s="1236">
        <f>RBBD!Q23</f>
        <v>0</v>
      </c>
      <c r="W38" s="1236">
        <f>RBBD!R23</f>
        <v>0</v>
      </c>
      <c r="X38" s="1236">
        <f>RBBD!S23</f>
        <v>0</v>
      </c>
      <c r="Y38" s="1236">
        <f>RBBD!T23</f>
        <v>0</v>
      </c>
      <c r="Z38" s="65"/>
      <c r="AA38" s="324">
        <f t="shared" si="4"/>
        <v>0</v>
      </c>
    </row>
    <row r="39" spans="2:27" hidden="1">
      <c r="B39" s="1236">
        <f>RBBD!B24</f>
        <v>0</v>
      </c>
      <c r="C39" s="1236">
        <f>RBBD!C24</f>
        <v>0</v>
      </c>
      <c r="D39" s="1236">
        <f>RBBD!D24</f>
        <v>0</v>
      </c>
      <c r="E39" s="1236">
        <f>RBBD!G24</f>
        <v>0</v>
      </c>
      <c r="F39" s="1236">
        <f>RBBD!H24</f>
        <v>0</v>
      </c>
      <c r="G39" s="1236">
        <f>RBBD!E24</f>
        <v>0</v>
      </c>
      <c r="H39" s="1236">
        <f>RBBD!F24</f>
        <v>0</v>
      </c>
      <c r="I39" s="1236">
        <f t="shared" si="2"/>
        <v>0</v>
      </c>
      <c r="J39" s="1236">
        <f t="shared" si="2"/>
        <v>0</v>
      </c>
      <c r="K39" s="1236">
        <f t="shared" si="2"/>
        <v>0</v>
      </c>
      <c r="L39" s="1236">
        <f t="shared" si="2"/>
        <v>0</v>
      </c>
      <c r="M39" s="1236">
        <f t="shared" si="3"/>
        <v>0</v>
      </c>
      <c r="N39" s="1236">
        <f>RBBD!I24</f>
        <v>0</v>
      </c>
      <c r="O39" s="1236">
        <f>RBBD!J24</f>
        <v>0</v>
      </c>
      <c r="P39" s="1236">
        <f>RBBD!K24</f>
        <v>0</v>
      </c>
      <c r="Q39" s="1236">
        <f>RBBD!L24</f>
        <v>0</v>
      </c>
      <c r="R39" s="1236">
        <f>RBBD!M24</f>
        <v>0</v>
      </c>
      <c r="S39" s="1236">
        <f>RBBD!N24</f>
        <v>0</v>
      </c>
      <c r="T39" s="1236">
        <f>RBBD!O24</f>
        <v>0</v>
      </c>
      <c r="U39" s="1236">
        <f>RBBD!P24</f>
        <v>0</v>
      </c>
      <c r="V39" s="1236">
        <f>RBBD!Q24</f>
        <v>0</v>
      </c>
      <c r="W39" s="1236">
        <f>RBBD!R24</f>
        <v>0</v>
      </c>
      <c r="X39" s="1236">
        <f>RBBD!S24</f>
        <v>0</v>
      </c>
      <c r="Y39" s="1236">
        <f>RBBD!T24</f>
        <v>0</v>
      </c>
      <c r="Z39" s="65"/>
      <c r="AA39" s="324">
        <f t="shared" ref="AA39:AA60" si="5">IF(B39=0,0,1)</f>
        <v>0</v>
      </c>
    </row>
    <row r="40" spans="2:27" hidden="1">
      <c r="B40" s="1236">
        <f>RBBD!B25</f>
        <v>0</v>
      </c>
      <c r="C40" s="1236">
        <f>RBBD!C25</f>
        <v>0</v>
      </c>
      <c r="D40" s="1236">
        <f>RBBD!D25</f>
        <v>0</v>
      </c>
      <c r="E40" s="1236">
        <f>RBBD!G25</f>
        <v>0</v>
      </c>
      <c r="F40" s="1236">
        <f>RBBD!H25</f>
        <v>0</v>
      </c>
      <c r="G40" s="1236">
        <f>RBBD!E25</f>
        <v>0</v>
      </c>
      <c r="H40" s="1236">
        <f>RBBD!F25</f>
        <v>0</v>
      </c>
      <c r="I40" s="1236">
        <f t="shared" si="2"/>
        <v>0</v>
      </c>
      <c r="J40" s="1236">
        <f t="shared" si="2"/>
        <v>0</v>
      </c>
      <c r="K40" s="1236">
        <f t="shared" si="2"/>
        <v>0</v>
      </c>
      <c r="L40" s="1236">
        <f t="shared" si="2"/>
        <v>0</v>
      </c>
      <c r="M40" s="1236">
        <f t="shared" si="3"/>
        <v>0</v>
      </c>
      <c r="N40" s="1236">
        <f>RBBD!I25</f>
        <v>0</v>
      </c>
      <c r="O40" s="1236">
        <f>RBBD!J25</f>
        <v>0</v>
      </c>
      <c r="P40" s="1236">
        <f>RBBD!K25</f>
        <v>0</v>
      </c>
      <c r="Q40" s="1236">
        <f>RBBD!L25</f>
        <v>0</v>
      </c>
      <c r="R40" s="1236">
        <f>RBBD!M25</f>
        <v>0</v>
      </c>
      <c r="S40" s="1236">
        <f>RBBD!N25</f>
        <v>0</v>
      </c>
      <c r="T40" s="1236">
        <f>RBBD!O25</f>
        <v>0</v>
      </c>
      <c r="U40" s="1236">
        <f>RBBD!P25</f>
        <v>0</v>
      </c>
      <c r="V40" s="1236">
        <f>RBBD!Q25</f>
        <v>0</v>
      </c>
      <c r="W40" s="1236">
        <f>RBBD!R25</f>
        <v>0</v>
      </c>
      <c r="X40" s="1236">
        <f>RBBD!S25</f>
        <v>0</v>
      </c>
      <c r="Y40" s="1236">
        <f>RBBD!T25</f>
        <v>0</v>
      </c>
      <c r="Z40" s="65"/>
      <c r="AA40" s="324">
        <f t="shared" si="5"/>
        <v>0</v>
      </c>
    </row>
    <row r="41" spans="2:27" hidden="1">
      <c r="B41" s="1236">
        <f>RBBD!B26</f>
        <v>0</v>
      </c>
      <c r="C41" s="1236">
        <f>RBBD!C26</f>
        <v>0</v>
      </c>
      <c r="D41" s="1236">
        <f>RBBD!D26</f>
        <v>0</v>
      </c>
      <c r="E41" s="1236">
        <f>RBBD!G26</f>
        <v>0</v>
      </c>
      <c r="F41" s="1236">
        <f>RBBD!H26</f>
        <v>0</v>
      </c>
      <c r="G41" s="1236">
        <f>RBBD!E26</f>
        <v>0</v>
      </c>
      <c r="H41" s="1236">
        <f>RBBD!F26</f>
        <v>0</v>
      </c>
      <c r="I41" s="1236">
        <f t="shared" si="2"/>
        <v>0</v>
      </c>
      <c r="J41" s="1236">
        <f t="shared" si="2"/>
        <v>0</v>
      </c>
      <c r="K41" s="1236">
        <f t="shared" si="2"/>
        <v>0</v>
      </c>
      <c r="L41" s="1236">
        <f t="shared" si="2"/>
        <v>0</v>
      </c>
      <c r="M41" s="1236">
        <f t="shared" si="3"/>
        <v>0</v>
      </c>
      <c r="N41" s="1236">
        <f>RBBD!I26</f>
        <v>0</v>
      </c>
      <c r="O41" s="1236">
        <f>RBBD!J26</f>
        <v>0</v>
      </c>
      <c r="P41" s="1236">
        <f>RBBD!K26</f>
        <v>0</v>
      </c>
      <c r="Q41" s="1236">
        <f>RBBD!L26</f>
        <v>0</v>
      </c>
      <c r="R41" s="1236">
        <f>RBBD!M26</f>
        <v>0</v>
      </c>
      <c r="S41" s="1236">
        <f>RBBD!N26</f>
        <v>0</v>
      </c>
      <c r="T41" s="1236">
        <f>RBBD!O26</f>
        <v>0</v>
      </c>
      <c r="U41" s="1236">
        <f>RBBD!P26</f>
        <v>0</v>
      </c>
      <c r="V41" s="1236">
        <f>RBBD!Q26</f>
        <v>0</v>
      </c>
      <c r="W41" s="1236">
        <f>RBBD!R26</f>
        <v>0</v>
      </c>
      <c r="X41" s="1236">
        <f>RBBD!S26</f>
        <v>0</v>
      </c>
      <c r="Y41" s="1236">
        <f>RBBD!T26</f>
        <v>0</v>
      </c>
      <c r="Z41" s="65"/>
      <c r="AA41" s="324">
        <f t="shared" si="5"/>
        <v>0</v>
      </c>
    </row>
    <row r="42" spans="2:27" hidden="1">
      <c r="B42" s="1236">
        <f>RBBD!B27</f>
        <v>0</v>
      </c>
      <c r="C42" s="1236">
        <f>RBBD!C27</f>
        <v>0</v>
      </c>
      <c r="D42" s="1236">
        <f>RBBD!D27</f>
        <v>0</v>
      </c>
      <c r="E42" s="1236">
        <f>RBBD!G27</f>
        <v>0</v>
      </c>
      <c r="F42" s="1236">
        <f>RBBD!H27</f>
        <v>0</v>
      </c>
      <c r="G42" s="1236">
        <f>RBBD!E27</f>
        <v>0</v>
      </c>
      <c r="H42" s="1236">
        <f>RBBD!F27</f>
        <v>0</v>
      </c>
      <c r="I42" s="1236">
        <f t="shared" si="2"/>
        <v>0</v>
      </c>
      <c r="J42" s="1236">
        <f t="shared" si="2"/>
        <v>0</v>
      </c>
      <c r="K42" s="1236">
        <f t="shared" si="2"/>
        <v>0</v>
      </c>
      <c r="L42" s="1236">
        <f t="shared" si="2"/>
        <v>0</v>
      </c>
      <c r="M42" s="1236">
        <f t="shared" si="3"/>
        <v>0</v>
      </c>
      <c r="N42" s="1236">
        <f>RBBD!I27</f>
        <v>0</v>
      </c>
      <c r="O42" s="1236">
        <f>RBBD!J27</f>
        <v>0</v>
      </c>
      <c r="P42" s="1236">
        <f>RBBD!K27</f>
        <v>0</v>
      </c>
      <c r="Q42" s="1236">
        <f>RBBD!L27</f>
        <v>0</v>
      </c>
      <c r="R42" s="1236">
        <f>RBBD!M27</f>
        <v>0</v>
      </c>
      <c r="S42" s="1236">
        <f>RBBD!N27</f>
        <v>0</v>
      </c>
      <c r="T42" s="1236">
        <f>RBBD!O27</f>
        <v>0</v>
      </c>
      <c r="U42" s="1236">
        <f>RBBD!P27</f>
        <v>0</v>
      </c>
      <c r="V42" s="1236">
        <f>RBBD!Q27</f>
        <v>0</v>
      </c>
      <c r="W42" s="1236">
        <f>RBBD!R27</f>
        <v>0</v>
      </c>
      <c r="X42" s="1236">
        <f>RBBD!S27</f>
        <v>0</v>
      </c>
      <c r="Y42" s="1236">
        <f>RBBD!T27</f>
        <v>0</v>
      </c>
      <c r="Z42" s="65"/>
      <c r="AA42" s="324">
        <f t="shared" si="5"/>
        <v>0</v>
      </c>
    </row>
    <row r="43" spans="2:27" hidden="1">
      <c r="B43" s="1236">
        <f>RBBD!B28</f>
        <v>0</v>
      </c>
      <c r="C43" s="1236">
        <f>RBBD!C28</f>
        <v>0</v>
      </c>
      <c r="D43" s="1236">
        <f>RBBD!D28</f>
        <v>0</v>
      </c>
      <c r="E43" s="1236">
        <f>RBBD!G28</f>
        <v>0</v>
      </c>
      <c r="F43" s="1236">
        <f>RBBD!H28</f>
        <v>0</v>
      </c>
      <c r="G43" s="1236">
        <f>RBBD!E28</f>
        <v>0</v>
      </c>
      <c r="H43" s="1236">
        <f>RBBD!F28</f>
        <v>0</v>
      </c>
      <c r="I43" s="1236">
        <f t="shared" si="2"/>
        <v>0</v>
      </c>
      <c r="J43" s="1236">
        <f t="shared" si="2"/>
        <v>0</v>
      </c>
      <c r="K43" s="1236">
        <f t="shared" si="2"/>
        <v>0</v>
      </c>
      <c r="L43" s="1236">
        <f t="shared" si="2"/>
        <v>0</v>
      </c>
      <c r="M43" s="1236">
        <f t="shared" si="3"/>
        <v>0</v>
      </c>
      <c r="N43" s="1236">
        <f>RBBD!I28</f>
        <v>0</v>
      </c>
      <c r="O43" s="1236">
        <f>RBBD!J28</f>
        <v>0</v>
      </c>
      <c r="P43" s="1236">
        <f>RBBD!K28</f>
        <v>0</v>
      </c>
      <c r="Q43" s="1236">
        <f>RBBD!L28</f>
        <v>0</v>
      </c>
      <c r="R43" s="1236">
        <f>RBBD!M28</f>
        <v>0</v>
      </c>
      <c r="S43" s="1236">
        <f>RBBD!N28</f>
        <v>0</v>
      </c>
      <c r="T43" s="1236">
        <f>RBBD!O28</f>
        <v>0</v>
      </c>
      <c r="U43" s="1236">
        <f>RBBD!P28</f>
        <v>0</v>
      </c>
      <c r="V43" s="1236">
        <f>RBBD!Q28</f>
        <v>0</v>
      </c>
      <c r="W43" s="1236">
        <f>RBBD!R28</f>
        <v>0</v>
      </c>
      <c r="X43" s="1236">
        <f>RBBD!S28</f>
        <v>0</v>
      </c>
      <c r="Y43" s="1236">
        <f>RBBD!T28</f>
        <v>0</v>
      </c>
      <c r="Z43" s="65"/>
      <c r="AA43" s="324">
        <f t="shared" si="5"/>
        <v>0</v>
      </c>
    </row>
    <row r="44" spans="2:27" hidden="1">
      <c r="B44" s="1236">
        <f>RBBD!B29</f>
        <v>0</v>
      </c>
      <c r="C44" s="1236">
        <f>RBBD!C29</f>
        <v>0</v>
      </c>
      <c r="D44" s="1236">
        <f>RBBD!D29</f>
        <v>0</v>
      </c>
      <c r="E44" s="1236">
        <f>RBBD!G29</f>
        <v>0</v>
      </c>
      <c r="F44" s="1236">
        <f>RBBD!H29</f>
        <v>0</v>
      </c>
      <c r="G44" s="1236">
        <f>RBBD!E29</f>
        <v>0</v>
      </c>
      <c r="H44" s="1236">
        <f>RBBD!F29</f>
        <v>0</v>
      </c>
      <c r="I44" s="1236">
        <f t="shared" si="2"/>
        <v>0</v>
      </c>
      <c r="J44" s="1236">
        <f t="shared" si="2"/>
        <v>0</v>
      </c>
      <c r="K44" s="1236">
        <f t="shared" si="2"/>
        <v>0</v>
      </c>
      <c r="L44" s="1236">
        <f t="shared" si="2"/>
        <v>0</v>
      </c>
      <c r="M44" s="1236">
        <f t="shared" si="3"/>
        <v>0</v>
      </c>
      <c r="N44" s="1236">
        <f>RBBD!I29</f>
        <v>0</v>
      </c>
      <c r="O44" s="1236">
        <f>RBBD!J29</f>
        <v>0</v>
      </c>
      <c r="P44" s="1236">
        <f>RBBD!K29</f>
        <v>0</v>
      </c>
      <c r="Q44" s="1236">
        <f>RBBD!L29</f>
        <v>0</v>
      </c>
      <c r="R44" s="1236">
        <f>RBBD!M29</f>
        <v>0</v>
      </c>
      <c r="S44" s="1236">
        <f>RBBD!N29</f>
        <v>0</v>
      </c>
      <c r="T44" s="1236">
        <f>RBBD!O29</f>
        <v>0</v>
      </c>
      <c r="U44" s="1236">
        <f>RBBD!P29</f>
        <v>0</v>
      </c>
      <c r="V44" s="1236">
        <f>RBBD!Q29</f>
        <v>0</v>
      </c>
      <c r="W44" s="1236">
        <f>RBBD!R29</f>
        <v>0</v>
      </c>
      <c r="X44" s="1236">
        <f>RBBD!S29</f>
        <v>0</v>
      </c>
      <c r="Y44" s="1236">
        <f>RBBD!T29</f>
        <v>0</v>
      </c>
      <c r="Z44" s="65"/>
      <c r="AA44" s="324">
        <f t="shared" si="5"/>
        <v>0</v>
      </c>
    </row>
    <row r="45" spans="2:27" hidden="1">
      <c r="B45" s="1236">
        <f>RBBD!B30</f>
        <v>0</v>
      </c>
      <c r="C45" s="1236">
        <f>RBBD!C30</f>
        <v>0</v>
      </c>
      <c r="D45" s="1236">
        <f>RBBD!D30</f>
        <v>0</v>
      </c>
      <c r="E45" s="1236">
        <f>RBBD!G30</f>
        <v>0</v>
      </c>
      <c r="F45" s="1236">
        <f>RBBD!H30</f>
        <v>0</v>
      </c>
      <c r="G45" s="1236">
        <f>RBBD!E30</f>
        <v>0</v>
      </c>
      <c r="H45" s="1236">
        <f>RBBD!F30</f>
        <v>0</v>
      </c>
      <c r="I45" s="1236">
        <f t="shared" si="2"/>
        <v>0</v>
      </c>
      <c r="J45" s="1236">
        <f t="shared" si="2"/>
        <v>0</v>
      </c>
      <c r="K45" s="1236">
        <f t="shared" si="2"/>
        <v>0</v>
      </c>
      <c r="L45" s="1236">
        <f t="shared" si="2"/>
        <v>0</v>
      </c>
      <c r="M45" s="1236">
        <f t="shared" si="3"/>
        <v>0</v>
      </c>
      <c r="N45" s="1236">
        <f>RBBD!I30</f>
        <v>0</v>
      </c>
      <c r="O45" s="1236">
        <f>RBBD!J30</f>
        <v>0</v>
      </c>
      <c r="P45" s="1236">
        <f>RBBD!K30</f>
        <v>0</v>
      </c>
      <c r="Q45" s="1236">
        <f>RBBD!L30</f>
        <v>0</v>
      </c>
      <c r="R45" s="1236">
        <f>RBBD!M30</f>
        <v>0</v>
      </c>
      <c r="S45" s="1236">
        <f>RBBD!N30</f>
        <v>0</v>
      </c>
      <c r="T45" s="1236">
        <f>RBBD!O30</f>
        <v>0</v>
      </c>
      <c r="U45" s="1236">
        <f>RBBD!P30</f>
        <v>0</v>
      </c>
      <c r="V45" s="1236">
        <f>RBBD!Q30</f>
        <v>0</v>
      </c>
      <c r="W45" s="1236">
        <f>RBBD!R30</f>
        <v>0</v>
      </c>
      <c r="X45" s="1236">
        <f>RBBD!S30</f>
        <v>0</v>
      </c>
      <c r="Y45" s="1236">
        <f>RBBD!T30</f>
        <v>0</v>
      </c>
      <c r="Z45" s="65"/>
      <c r="AA45" s="324">
        <f t="shared" si="5"/>
        <v>0</v>
      </c>
    </row>
    <row r="46" spans="2:27" hidden="1">
      <c r="B46" s="1236">
        <f>RBBD!B31</f>
        <v>0</v>
      </c>
      <c r="C46" s="1236">
        <f>RBBD!C31</f>
        <v>0</v>
      </c>
      <c r="D46" s="1236">
        <f>RBBD!D31</f>
        <v>0</v>
      </c>
      <c r="E46" s="1236">
        <f>RBBD!G31</f>
        <v>0</v>
      </c>
      <c r="F46" s="1236">
        <f>RBBD!H31</f>
        <v>0</v>
      </c>
      <c r="G46" s="1236">
        <f>RBBD!E31</f>
        <v>0</v>
      </c>
      <c r="H46" s="1236">
        <f>RBBD!F31</f>
        <v>0</v>
      </c>
      <c r="I46" s="1236">
        <f t="shared" si="2"/>
        <v>0</v>
      </c>
      <c r="J46" s="1236">
        <f t="shared" si="2"/>
        <v>0</v>
      </c>
      <c r="K46" s="1236">
        <f t="shared" si="2"/>
        <v>0</v>
      </c>
      <c r="L46" s="1236">
        <f t="shared" si="2"/>
        <v>0</v>
      </c>
      <c r="M46" s="1236">
        <f t="shared" si="3"/>
        <v>0</v>
      </c>
      <c r="N46" s="1236">
        <f>RBBD!I31</f>
        <v>0</v>
      </c>
      <c r="O46" s="1236">
        <f>RBBD!J31</f>
        <v>0</v>
      </c>
      <c r="P46" s="1236">
        <f>RBBD!K31</f>
        <v>0</v>
      </c>
      <c r="Q46" s="1236">
        <f>RBBD!L31</f>
        <v>0</v>
      </c>
      <c r="R46" s="1236">
        <f>RBBD!M31</f>
        <v>0</v>
      </c>
      <c r="S46" s="1236">
        <f>RBBD!N31</f>
        <v>0</v>
      </c>
      <c r="T46" s="1236">
        <f>RBBD!O31</f>
        <v>0</v>
      </c>
      <c r="U46" s="1236">
        <f>RBBD!P31</f>
        <v>0</v>
      </c>
      <c r="V46" s="1236">
        <f>RBBD!Q31</f>
        <v>0</v>
      </c>
      <c r="W46" s="1236">
        <f>RBBD!R31</f>
        <v>0</v>
      </c>
      <c r="X46" s="1236">
        <f>RBBD!S31</f>
        <v>0</v>
      </c>
      <c r="Y46" s="1236">
        <f>RBBD!T31</f>
        <v>0</v>
      </c>
      <c r="Z46" s="65"/>
      <c r="AA46" s="324">
        <f t="shared" si="5"/>
        <v>0</v>
      </c>
    </row>
    <row r="47" spans="2:27" hidden="1">
      <c r="B47" s="1236">
        <f>RBBD!B32</f>
        <v>0</v>
      </c>
      <c r="C47" s="1236">
        <f>RBBD!C32</f>
        <v>0</v>
      </c>
      <c r="D47" s="1236">
        <f>RBBD!D32</f>
        <v>0</v>
      </c>
      <c r="E47" s="1236">
        <f>RBBD!G32</f>
        <v>0</v>
      </c>
      <c r="F47" s="1236">
        <f>RBBD!H32</f>
        <v>0</v>
      </c>
      <c r="G47" s="1236">
        <f>RBBD!E32</f>
        <v>0</v>
      </c>
      <c r="H47" s="1236">
        <f>RBBD!F32</f>
        <v>0</v>
      </c>
      <c r="I47" s="1236">
        <f t="shared" si="2"/>
        <v>0</v>
      </c>
      <c r="J47" s="1236">
        <f t="shared" si="2"/>
        <v>0</v>
      </c>
      <c r="K47" s="1236">
        <f t="shared" si="2"/>
        <v>0</v>
      </c>
      <c r="L47" s="1236">
        <f t="shared" si="2"/>
        <v>0</v>
      </c>
      <c r="M47" s="1236">
        <f t="shared" si="3"/>
        <v>0</v>
      </c>
      <c r="N47" s="1236">
        <f>RBBD!I32</f>
        <v>0</v>
      </c>
      <c r="O47" s="1236">
        <f>RBBD!J32</f>
        <v>0</v>
      </c>
      <c r="P47" s="1236">
        <f>RBBD!K32</f>
        <v>0</v>
      </c>
      <c r="Q47" s="1236">
        <f>RBBD!L32</f>
        <v>0</v>
      </c>
      <c r="R47" s="1236">
        <f>RBBD!M32</f>
        <v>0</v>
      </c>
      <c r="S47" s="1236">
        <f>RBBD!N32</f>
        <v>0</v>
      </c>
      <c r="T47" s="1236">
        <f>RBBD!O32</f>
        <v>0</v>
      </c>
      <c r="U47" s="1236">
        <f>RBBD!P32</f>
        <v>0</v>
      </c>
      <c r="V47" s="1236">
        <f>RBBD!Q32</f>
        <v>0</v>
      </c>
      <c r="W47" s="1236">
        <f>RBBD!R32</f>
        <v>0</v>
      </c>
      <c r="X47" s="1236">
        <f>RBBD!S32</f>
        <v>0</v>
      </c>
      <c r="Y47" s="1236">
        <f>RBBD!T32</f>
        <v>0</v>
      </c>
      <c r="Z47" s="65"/>
      <c r="AA47" s="324">
        <f t="shared" si="5"/>
        <v>0</v>
      </c>
    </row>
    <row r="48" spans="2:27" hidden="1">
      <c r="B48" s="1236">
        <f>RBBD!B33</f>
        <v>0</v>
      </c>
      <c r="C48" s="1236">
        <f>RBBD!C33</f>
        <v>0</v>
      </c>
      <c r="D48" s="1236">
        <f>RBBD!D33</f>
        <v>0</v>
      </c>
      <c r="E48" s="1236">
        <f>RBBD!G33</f>
        <v>0</v>
      </c>
      <c r="F48" s="1236">
        <f>RBBD!H33</f>
        <v>0</v>
      </c>
      <c r="G48" s="1236">
        <f>RBBD!E33</f>
        <v>0</v>
      </c>
      <c r="H48" s="1236">
        <f>RBBD!F33</f>
        <v>0</v>
      </c>
      <c r="I48" s="1236">
        <f t="shared" si="2"/>
        <v>0</v>
      </c>
      <c r="J48" s="1236">
        <f t="shared" si="2"/>
        <v>0</v>
      </c>
      <c r="K48" s="1236">
        <f t="shared" si="2"/>
        <v>0</v>
      </c>
      <c r="L48" s="1236">
        <f t="shared" si="2"/>
        <v>0</v>
      </c>
      <c r="M48" s="1236">
        <f t="shared" si="3"/>
        <v>0</v>
      </c>
      <c r="N48" s="1236">
        <f>RBBD!I33</f>
        <v>0</v>
      </c>
      <c r="O48" s="1236">
        <f>RBBD!J33</f>
        <v>0</v>
      </c>
      <c r="P48" s="1236">
        <f>RBBD!K33</f>
        <v>0</v>
      </c>
      <c r="Q48" s="1236">
        <f>RBBD!L33</f>
        <v>0</v>
      </c>
      <c r="R48" s="1236">
        <f>RBBD!M33</f>
        <v>0</v>
      </c>
      <c r="S48" s="1236">
        <f>RBBD!N33</f>
        <v>0</v>
      </c>
      <c r="T48" s="1236">
        <f>RBBD!O33</f>
        <v>0</v>
      </c>
      <c r="U48" s="1236">
        <f>RBBD!P33</f>
        <v>0</v>
      </c>
      <c r="V48" s="1236">
        <f>RBBD!Q33</f>
        <v>0</v>
      </c>
      <c r="W48" s="1236">
        <f>RBBD!R33</f>
        <v>0</v>
      </c>
      <c r="X48" s="1236">
        <f>RBBD!S33</f>
        <v>0</v>
      </c>
      <c r="Y48" s="1236">
        <f>RBBD!T33</f>
        <v>0</v>
      </c>
      <c r="Z48" s="65"/>
      <c r="AA48" s="324">
        <f t="shared" si="5"/>
        <v>0</v>
      </c>
    </row>
    <row r="49" spans="2:27" hidden="1">
      <c r="B49" s="1236">
        <f>RBBD!B34</f>
        <v>0</v>
      </c>
      <c r="C49" s="1236">
        <f>RBBD!C34</f>
        <v>0</v>
      </c>
      <c r="D49" s="1236">
        <f>RBBD!D34</f>
        <v>0</v>
      </c>
      <c r="E49" s="1236">
        <f>RBBD!G34</f>
        <v>0</v>
      </c>
      <c r="F49" s="1236">
        <f>RBBD!H34</f>
        <v>0</v>
      </c>
      <c r="G49" s="1236">
        <f>RBBD!E34</f>
        <v>0</v>
      </c>
      <c r="H49" s="1236">
        <f>RBBD!F34</f>
        <v>0</v>
      </c>
      <c r="I49" s="1236">
        <f t="shared" si="2"/>
        <v>0</v>
      </c>
      <c r="J49" s="1236">
        <f t="shared" si="2"/>
        <v>0</v>
      </c>
      <c r="K49" s="1236">
        <f t="shared" si="2"/>
        <v>0</v>
      </c>
      <c r="L49" s="1236">
        <f t="shared" si="2"/>
        <v>0</v>
      </c>
      <c r="M49" s="1236">
        <f t="shared" si="3"/>
        <v>0</v>
      </c>
      <c r="N49" s="1236">
        <f>RBBD!I34</f>
        <v>0</v>
      </c>
      <c r="O49" s="1236">
        <f>RBBD!J34</f>
        <v>0</v>
      </c>
      <c r="P49" s="1236">
        <f>RBBD!K34</f>
        <v>0</v>
      </c>
      <c r="Q49" s="1236">
        <f>RBBD!L34</f>
        <v>0</v>
      </c>
      <c r="R49" s="1236">
        <f>RBBD!M34</f>
        <v>0</v>
      </c>
      <c r="S49" s="1236">
        <f>RBBD!N34</f>
        <v>0</v>
      </c>
      <c r="T49" s="1236">
        <f>RBBD!O34</f>
        <v>0</v>
      </c>
      <c r="U49" s="1236">
        <f>RBBD!P34</f>
        <v>0</v>
      </c>
      <c r="V49" s="1236">
        <f>RBBD!Q34</f>
        <v>0</v>
      </c>
      <c r="W49" s="1236">
        <f>RBBD!R34</f>
        <v>0</v>
      </c>
      <c r="X49" s="1236">
        <f>RBBD!S34</f>
        <v>0</v>
      </c>
      <c r="Y49" s="1236">
        <f>RBBD!T34</f>
        <v>0</v>
      </c>
      <c r="Z49" s="65"/>
      <c r="AA49" s="324">
        <f t="shared" si="5"/>
        <v>0</v>
      </c>
    </row>
    <row r="50" spans="2:27" hidden="1">
      <c r="B50" s="1236">
        <f>RBBD!B35</f>
        <v>0</v>
      </c>
      <c r="C50" s="1236">
        <f>RBBD!C35</f>
        <v>0</v>
      </c>
      <c r="D50" s="1236">
        <f>RBBD!D35</f>
        <v>0</v>
      </c>
      <c r="E50" s="1236">
        <f>RBBD!G35</f>
        <v>0</v>
      </c>
      <c r="F50" s="1236">
        <f>RBBD!H35</f>
        <v>0</v>
      </c>
      <c r="G50" s="1236">
        <f>RBBD!E35</f>
        <v>0</v>
      </c>
      <c r="H50" s="1236">
        <f>RBBD!F35</f>
        <v>0</v>
      </c>
      <c r="I50" s="1236">
        <f t="shared" si="2"/>
        <v>0</v>
      </c>
      <c r="J50" s="1236">
        <f t="shared" si="2"/>
        <v>0</v>
      </c>
      <c r="K50" s="1236">
        <f t="shared" si="2"/>
        <v>0</v>
      </c>
      <c r="L50" s="1236">
        <f t="shared" si="2"/>
        <v>0</v>
      </c>
      <c r="M50" s="1236">
        <f t="shared" si="3"/>
        <v>0</v>
      </c>
      <c r="N50" s="1236">
        <f>RBBD!I35</f>
        <v>0</v>
      </c>
      <c r="O50" s="1236">
        <f>RBBD!J35</f>
        <v>0</v>
      </c>
      <c r="P50" s="1236">
        <f>RBBD!K35</f>
        <v>0</v>
      </c>
      <c r="Q50" s="1236">
        <f>RBBD!L35</f>
        <v>0</v>
      </c>
      <c r="R50" s="1236">
        <f>RBBD!M35</f>
        <v>0</v>
      </c>
      <c r="S50" s="1236">
        <f>RBBD!N35</f>
        <v>0</v>
      </c>
      <c r="T50" s="1236">
        <f>RBBD!O35</f>
        <v>0</v>
      </c>
      <c r="U50" s="1236">
        <f>RBBD!P35</f>
        <v>0</v>
      </c>
      <c r="V50" s="1236">
        <f>RBBD!Q35</f>
        <v>0</v>
      </c>
      <c r="W50" s="1236">
        <f>RBBD!R35</f>
        <v>0</v>
      </c>
      <c r="X50" s="1236">
        <f>RBBD!S35</f>
        <v>0</v>
      </c>
      <c r="Y50" s="1236">
        <f>RBBD!T35</f>
        <v>0</v>
      </c>
      <c r="Z50" s="65"/>
      <c r="AA50" s="324">
        <f t="shared" si="5"/>
        <v>0</v>
      </c>
    </row>
    <row r="51" spans="2:27" hidden="1">
      <c r="B51" s="1236">
        <f>RBBD!B36</f>
        <v>0</v>
      </c>
      <c r="C51" s="1236">
        <f>RBBD!C36</f>
        <v>0</v>
      </c>
      <c r="D51" s="1236">
        <f>RBBD!D36</f>
        <v>0</v>
      </c>
      <c r="E51" s="1236">
        <f>RBBD!G36</f>
        <v>0</v>
      </c>
      <c r="F51" s="1236">
        <f>RBBD!H36</f>
        <v>0</v>
      </c>
      <c r="G51" s="1236">
        <f>RBBD!E36</f>
        <v>0</v>
      </c>
      <c r="H51" s="1236">
        <f>RBBD!F36</f>
        <v>0</v>
      </c>
      <c r="I51" s="1236">
        <f t="shared" si="2"/>
        <v>0</v>
      </c>
      <c r="J51" s="1236">
        <f t="shared" si="2"/>
        <v>0</v>
      </c>
      <c r="K51" s="1236">
        <f t="shared" si="2"/>
        <v>0</v>
      </c>
      <c r="L51" s="1236">
        <f t="shared" si="2"/>
        <v>0</v>
      </c>
      <c r="M51" s="1236">
        <f t="shared" si="3"/>
        <v>0</v>
      </c>
      <c r="N51" s="1236">
        <f>RBBD!I36</f>
        <v>0</v>
      </c>
      <c r="O51" s="1236">
        <f>RBBD!J36</f>
        <v>0</v>
      </c>
      <c r="P51" s="1236">
        <f>RBBD!K36</f>
        <v>0</v>
      </c>
      <c r="Q51" s="1236">
        <f>RBBD!L36</f>
        <v>0</v>
      </c>
      <c r="R51" s="1236">
        <f>RBBD!M36</f>
        <v>0</v>
      </c>
      <c r="S51" s="1236">
        <f>RBBD!N36</f>
        <v>0</v>
      </c>
      <c r="T51" s="1236">
        <f>RBBD!O36</f>
        <v>0</v>
      </c>
      <c r="U51" s="1236">
        <f>RBBD!P36</f>
        <v>0</v>
      </c>
      <c r="V51" s="1236">
        <f>RBBD!Q36</f>
        <v>0</v>
      </c>
      <c r="W51" s="1236">
        <f>RBBD!R36</f>
        <v>0</v>
      </c>
      <c r="X51" s="1236">
        <f>RBBD!S36</f>
        <v>0</v>
      </c>
      <c r="Y51" s="1236">
        <f>RBBD!T36</f>
        <v>0</v>
      </c>
      <c r="Z51" s="65"/>
      <c r="AA51" s="324">
        <f t="shared" si="5"/>
        <v>0</v>
      </c>
    </row>
    <row r="52" spans="2:27" hidden="1">
      <c r="B52" s="1236">
        <f>RBBD!B37</f>
        <v>0</v>
      </c>
      <c r="C52" s="1236">
        <f>RBBD!C37</f>
        <v>0</v>
      </c>
      <c r="D52" s="1236">
        <f>RBBD!D37</f>
        <v>0</v>
      </c>
      <c r="E52" s="1236">
        <f>RBBD!G37</f>
        <v>0</v>
      </c>
      <c r="F52" s="1236">
        <f>RBBD!H37</f>
        <v>0</v>
      </c>
      <c r="G52" s="1236">
        <f>RBBD!E37</f>
        <v>0</v>
      </c>
      <c r="H52" s="1236">
        <f>RBBD!F37</f>
        <v>0</v>
      </c>
      <c r="I52" s="1236">
        <f t="shared" si="2"/>
        <v>0</v>
      </c>
      <c r="J52" s="1236">
        <f t="shared" si="2"/>
        <v>0</v>
      </c>
      <c r="K52" s="1236">
        <f t="shared" si="2"/>
        <v>0</v>
      </c>
      <c r="L52" s="1236">
        <f t="shared" si="2"/>
        <v>0</v>
      </c>
      <c r="M52" s="1236">
        <f t="shared" si="3"/>
        <v>0</v>
      </c>
      <c r="N52" s="1236">
        <f>RBBD!I37</f>
        <v>0</v>
      </c>
      <c r="O52" s="1236">
        <f>RBBD!J37</f>
        <v>0</v>
      </c>
      <c r="P52" s="1236">
        <f>RBBD!K37</f>
        <v>0</v>
      </c>
      <c r="Q52" s="1236">
        <f>RBBD!L37</f>
        <v>0</v>
      </c>
      <c r="R52" s="1236">
        <f>RBBD!M37</f>
        <v>0</v>
      </c>
      <c r="S52" s="1236">
        <f>RBBD!N37</f>
        <v>0</v>
      </c>
      <c r="T52" s="1236">
        <f>RBBD!O37</f>
        <v>0</v>
      </c>
      <c r="U52" s="1236">
        <f>RBBD!P37</f>
        <v>0</v>
      </c>
      <c r="V52" s="1236">
        <f>RBBD!Q37</f>
        <v>0</v>
      </c>
      <c r="W52" s="1236">
        <f>RBBD!R37</f>
        <v>0</v>
      </c>
      <c r="X52" s="1236">
        <f>RBBD!S37</f>
        <v>0</v>
      </c>
      <c r="Y52" s="1236">
        <f>RBBD!T37</f>
        <v>0</v>
      </c>
      <c r="Z52" s="65"/>
      <c r="AA52" s="324">
        <f t="shared" si="5"/>
        <v>0</v>
      </c>
    </row>
    <row r="53" spans="2:27" hidden="1">
      <c r="B53" s="1236">
        <f>RBBD!B38</f>
        <v>0</v>
      </c>
      <c r="C53" s="1236">
        <f>RBBD!C38</f>
        <v>0</v>
      </c>
      <c r="D53" s="1236">
        <f>RBBD!D38</f>
        <v>0</v>
      </c>
      <c r="E53" s="1236">
        <f>RBBD!G38</f>
        <v>0</v>
      </c>
      <c r="F53" s="1236">
        <f>RBBD!H38</f>
        <v>0</v>
      </c>
      <c r="G53" s="1236">
        <f>RBBD!E38</f>
        <v>0</v>
      </c>
      <c r="H53" s="1236">
        <f>RBBD!F38</f>
        <v>0</v>
      </c>
      <c r="I53" s="1236">
        <f t="shared" si="2"/>
        <v>0</v>
      </c>
      <c r="J53" s="1236">
        <f t="shared" si="2"/>
        <v>0</v>
      </c>
      <c r="K53" s="1236">
        <f t="shared" si="2"/>
        <v>0</v>
      </c>
      <c r="L53" s="1236">
        <f t="shared" si="2"/>
        <v>0</v>
      </c>
      <c r="M53" s="1236">
        <f t="shared" si="3"/>
        <v>0</v>
      </c>
      <c r="N53" s="1236">
        <f>RBBD!I38</f>
        <v>0</v>
      </c>
      <c r="O53" s="1236">
        <f>RBBD!J38</f>
        <v>0</v>
      </c>
      <c r="P53" s="1236">
        <f>RBBD!K38</f>
        <v>0</v>
      </c>
      <c r="Q53" s="1236">
        <f>RBBD!L38</f>
        <v>0</v>
      </c>
      <c r="R53" s="1236">
        <f>RBBD!M38</f>
        <v>0</v>
      </c>
      <c r="S53" s="1236">
        <f>RBBD!N38</f>
        <v>0</v>
      </c>
      <c r="T53" s="1236">
        <f>RBBD!O38</f>
        <v>0</v>
      </c>
      <c r="U53" s="1236">
        <f>RBBD!P38</f>
        <v>0</v>
      </c>
      <c r="V53" s="1236">
        <f>RBBD!Q38</f>
        <v>0</v>
      </c>
      <c r="W53" s="1236">
        <f>RBBD!R38</f>
        <v>0</v>
      </c>
      <c r="X53" s="1236">
        <f>RBBD!S38</f>
        <v>0</v>
      </c>
      <c r="Y53" s="1236">
        <f>RBBD!T38</f>
        <v>0</v>
      </c>
      <c r="Z53" s="65"/>
      <c r="AA53" s="324">
        <f t="shared" si="5"/>
        <v>0</v>
      </c>
    </row>
    <row r="54" spans="2:27" hidden="1">
      <c r="B54" s="1236">
        <f>RBBD!B39</f>
        <v>0</v>
      </c>
      <c r="C54" s="1236">
        <f>RBBD!C39</f>
        <v>0</v>
      </c>
      <c r="D54" s="1236">
        <f>RBBD!D39</f>
        <v>0</v>
      </c>
      <c r="E54" s="1236">
        <f>RBBD!G39</f>
        <v>0</v>
      </c>
      <c r="F54" s="1236">
        <f>RBBD!H39</f>
        <v>0</v>
      </c>
      <c r="G54" s="1236">
        <f>RBBD!E39</f>
        <v>0</v>
      </c>
      <c r="H54" s="1236">
        <f>RBBD!F39</f>
        <v>0</v>
      </c>
      <c r="I54" s="1236">
        <f t="shared" si="2"/>
        <v>0</v>
      </c>
      <c r="J54" s="1236">
        <f t="shared" si="2"/>
        <v>0</v>
      </c>
      <c r="K54" s="1236">
        <f t="shared" si="2"/>
        <v>0</v>
      </c>
      <c r="L54" s="1236">
        <f t="shared" si="2"/>
        <v>0</v>
      </c>
      <c r="M54" s="1236">
        <f t="shared" si="3"/>
        <v>0</v>
      </c>
      <c r="N54" s="1236">
        <f>RBBD!I39</f>
        <v>0</v>
      </c>
      <c r="O54" s="1236">
        <f>RBBD!J39</f>
        <v>0</v>
      </c>
      <c r="P54" s="1236">
        <f>RBBD!K39</f>
        <v>0</v>
      </c>
      <c r="Q54" s="1236">
        <f>RBBD!L39</f>
        <v>0</v>
      </c>
      <c r="R54" s="1236">
        <f>RBBD!M39</f>
        <v>0</v>
      </c>
      <c r="S54" s="1236">
        <f>RBBD!N39</f>
        <v>0</v>
      </c>
      <c r="T54" s="1236">
        <f>RBBD!O39</f>
        <v>0</v>
      </c>
      <c r="U54" s="1236">
        <f>RBBD!P39</f>
        <v>0</v>
      </c>
      <c r="V54" s="1236">
        <f>RBBD!Q39</f>
        <v>0</v>
      </c>
      <c r="W54" s="1236">
        <f>RBBD!R39</f>
        <v>0</v>
      </c>
      <c r="X54" s="1236">
        <f>RBBD!S39</f>
        <v>0</v>
      </c>
      <c r="Y54" s="1236">
        <f>RBBD!T39</f>
        <v>0</v>
      </c>
      <c r="Z54" s="65"/>
      <c r="AA54" s="324">
        <f t="shared" si="5"/>
        <v>0</v>
      </c>
    </row>
    <row r="55" spans="2:27" hidden="1">
      <c r="B55" s="1236">
        <f>RBBD!B40</f>
        <v>0</v>
      </c>
      <c r="C55" s="1236">
        <f>RBBD!C40</f>
        <v>0</v>
      </c>
      <c r="D55" s="1236">
        <f>RBBD!D40</f>
        <v>0</v>
      </c>
      <c r="E55" s="1236">
        <f>RBBD!G40</f>
        <v>0</v>
      </c>
      <c r="F55" s="1236">
        <f>RBBD!H40</f>
        <v>0</v>
      </c>
      <c r="G55" s="1236">
        <f>RBBD!E40</f>
        <v>0</v>
      </c>
      <c r="H55" s="1236">
        <f>RBBD!F40</f>
        <v>0</v>
      </c>
      <c r="I55" s="1236">
        <f t="shared" si="2"/>
        <v>0</v>
      </c>
      <c r="J55" s="1236">
        <f t="shared" si="2"/>
        <v>0</v>
      </c>
      <c r="K55" s="1236">
        <f t="shared" si="2"/>
        <v>0</v>
      </c>
      <c r="L55" s="1236">
        <f t="shared" si="2"/>
        <v>0</v>
      </c>
      <c r="M55" s="1236">
        <f t="shared" si="3"/>
        <v>0</v>
      </c>
      <c r="N55" s="1236">
        <f>RBBD!I40</f>
        <v>0</v>
      </c>
      <c r="O55" s="1236">
        <f>RBBD!J40</f>
        <v>0</v>
      </c>
      <c r="P55" s="1236">
        <f>RBBD!K40</f>
        <v>0</v>
      </c>
      <c r="Q55" s="1236">
        <f>RBBD!L40</f>
        <v>0</v>
      </c>
      <c r="R55" s="1236">
        <f>RBBD!M40</f>
        <v>0</v>
      </c>
      <c r="S55" s="1236">
        <f>RBBD!N40</f>
        <v>0</v>
      </c>
      <c r="T55" s="1236">
        <f>RBBD!O40</f>
        <v>0</v>
      </c>
      <c r="U55" s="1236">
        <f>RBBD!P40</f>
        <v>0</v>
      </c>
      <c r="V55" s="1236">
        <f>RBBD!Q40</f>
        <v>0</v>
      </c>
      <c r="W55" s="1236">
        <f>RBBD!R40</f>
        <v>0</v>
      </c>
      <c r="X55" s="1236">
        <f>RBBD!S40</f>
        <v>0</v>
      </c>
      <c r="Y55" s="1236">
        <f>RBBD!T40</f>
        <v>0</v>
      </c>
      <c r="Z55" s="65"/>
      <c r="AA55" s="324">
        <f t="shared" si="5"/>
        <v>0</v>
      </c>
    </row>
    <row r="56" spans="2:27" hidden="1">
      <c r="B56" s="1236">
        <f>RBBD!B41</f>
        <v>0</v>
      </c>
      <c r="C56" s="1236">
        <f>RBBD!C41</f>
        <v>0</v>
      </c>
      <c r="D56" s="1236">
        <f>RBBD!D41</f>
        <v>0</v>
      </c>
      <c r="E56" s="1236">
        <f>RBBD!G41</f>
        <v>0</v>
      </c>
      <c r="F56" s="1236">
        <f>RBBD!H41</f>
        <v>0</v>
      </c>
      <c r="G56" s="1236">
        <f>RBBD!E41</f>
        <v>0</v>
      </c>
      <c r="H56" s="1236">
        <f>RBBD!F41</f>
        <v>0</v>
      </c>
      <c r="I56" s="1236">
        <f t="shared" si="2"/>
        <v>0</v>
      </c>
      <c r="J56" s="1236">
        <f t="shared" si="2"/>
        <v>0</v>
      </c>
      <c r="K56" s="1236">
        <f t="shared" si="2"/>
        <v>0</v>
      </c>
      <c r="L56" s="1236">
        <f t="shared" si="2"/>
        <v>0</v>
      </c>
      <c r="M56" s="1236">
        <f t="shared" si="3"/>
        <v>0</v>
      </c>
      <c r="N56" s="1236">
        <f>RBBD!I41</f>
        <v>0</v>
      </c>
      <c r="O56" s="1236">
        <f>RBBD!J41</f>
        <v>0</v>
      </c>
      <c r="P56" s="1236">
        <f>RBBD!K41</f>
        <v>0</v>
      </c>
      <c r="Q56" s="1236">
        <f>RBBD!L41</f>
        <v>0</v>
      </c>
      <c r="R56" s="1236">
        <f>RBBD!M41</f>
        <v>0</v>
      </c>
      <c r="S56" s="1236">
        <f>RBBD!N41</f>
        <v>0</v>
      </c>
      <c r="T56" s="1236">
        <f>RBBD!O41</f>
        <v>0</v>
      </c>
      <c r="U56" s="1236">
        <f>RBBD!P41</f>
        <v>0</v>
      </c>
      <c r="V56" s="1236">
        <f>RBBD!Q41</f>
        <v>0</v>
      </c>
      <c r="W56" s="1236">
        <f>RBBD!R41</f>
        <v>0</v>
      </c>
      <c r="X56" s="1236">
        <f>RBBD!S41</f>
        <v>0</v>
      </c>
      <c r="Y56" s="1236">
        <f>RBBD!T41</f>
        <v>0</v>
      </c>
      <c r="Z56" s="65"/>
      <c r="AA56" s="324">
        <f t="shared" si="5"/>
        <v>0</v>
      </c>
    </row>
    <row r="57" spans="2:27" hidden="1">
      <c r="B57" s="1236">
        <f>RBBD!B42</f>
        <v>0</v>
      </c>
      <c r="C57" s="1236">
        <f>RBBD!C42</f>
        <v>0</v>
      </c>
      <c r="D57" s="1236">
        <f>RBBD!D42</f>
        <v>0</v>
      </c>
      <c r="E57" s="1236">
        <f>RBBD!G42</f>
        <v>0</v>
      </c>
      <c r="F57" s="1236">
        <f>RBBD!H42</f>
        <v>0</v>
      </c>
      <c r="G57" s="1236">
        <f>RBBD!E42</f>
        <v>0</v>
      </c>
      <c r="H57" s="1236">
        <f>RBBD!F42</f>
        <v>0</v>
      </c>
      <c r="I57" s="1236">
        <f t="shared" si="2"/>
        <v>0</v>
      </c>
      <c r="J57" s="1236">
        <f t="shared" si="2"/>
        <v>0</v>
      </c>
      <c r="K57" s="1236">
        <f t="shared" si="2"/>
        <v>0</v>
      </c>
      <c r="L57" s="1236">
        <f t="shared" si="2"/>
        <v>0</v>
      </c>
      <c r="M57" s="1236">
        <f t="shared" si="3"/>
        <v>0</v>
      </c>
      <c r="N57" s="1236">
        <f>RBBD!I42</f>
        <v>0</v>
      </c>
      <c r="O57" s="1236">
        <f>RBBD!J42</f>
        <v>0</v>
      </c>
      <c r="P57" s="1236">
        <f>RBBD!K42</f>
        <v>0</v>
      </c>
      <c r="Q57" s="1236">
        <f>RBBD!L42</f>
        <v>0</v>
      </c>
      <c r="R57" s="1236">
        <f>RBBD!M42</f>
        <v>0</v>
      </c>
      <c r="S57" s="1236">
        <f>RBBD!N42</f>
        <v>0</v>
      </c>
      <c r="T57" s="1236">
        <f>RBBD!O42</f>
        <v>0</v>
      </c>
      <c r="U57" s="1236">
        <f>RBBD!P42</f>
        <v>0</v>
      </c>
      <c r="V57" s="1236">
        <f>RBBD!Q42</f>
        <v>0</v>
      </c>
      <c r="W57" s="1236">
        <f>RBBD!R42</f>
        <v>0</v>
      </c>
      <c r="X57" s="1236">
        <f>RBBD!S42</f>
        <v>0</v>
      </c>
      <c r="Y57" s="1236">
        <f>RBBD!T42</f>
        <v>0</v>
      </c>
      <c r="Z57" s="65"/>
      <c r="AA57" s="324">
        <f t="shared" si="5"/>
        <v>0</v>
      </c>
    </row>
    <row r="58" spans="2:27" hidden="1">
      <c r="B58" s="1236">
        <f>RBBD!B43</f>
        <v>0</v>
      </c>
      <c r="C58" s="1236">
        <f>RBBD!C43</f>
        <v>0</v>
      </c>
      <c r="D58" s="1236">
        <f>RBBD!D43</f>
        <v>0</v>
      </c>
      <c r="E58" s="1236">
        <f>RBBD!G43</f>
        <v>0</v>
      </c>
      <c r="F58" s="1236">
        <f>RBBD!H43</f>
        <v>0</v>
      </c>
      <c r="G58" s="1236">
        <f>RBBD!E43</f>
        <v>0</v>
      </c>
      <c r="H58" s="1236">
        <f>RBBD!F43</f>
        <v>0</v>
      </c>
      <c r="I58" s="1236">
        <f t="shared" si="2"/>
        <v>0</v>
      </c>
      <c r="J58" s="1236">
        <f t="shared" si="2"/>
        <v>0</v>
      </c>
      <c r="K58" s="1236">
        <f t="shared" si="2"/>
        <v>0</v>
      </c>
      <c r="L58" s="1236">
        <f t="shared" si="2"/>
        <v>0</v>
      </c>
      <c r="M58" s="1236">
        <f t="shared" si="3"/>
        <v>0</v>
      </c>
      <c r="N58" s="1236">
        <f>RBBD!I43</f>
        <v>0</v>
      </c>
      <c r="O58" s="1236">
        <f>RBBD!J43</f>
        <v>0</v>
      </c>
      <c r="P58" s="1236">
        <f>RBBD!K43</f>
        <v>0</v>
      </c>
      <c r="Q58" s="1236">
        <f>RBBD!L43</f>
        <v>0</v>
      </c>
      <c r="R58" s="1236">
        <f>RBBD!M43</f>
        <v>0</v>
      </c>
      <c r="S58" s="1236">
        <f>RBBD!N43</f>
        <v>0</v>
      </c>
      <c r="T58" s="1236">
        <f>RBBD!O43</f>
        <v>0</v>
      </c>
      <c r="U58" s="1236">
        <f>RBBD!P43</f>
        <v>0</v>
      </c>
      <c r="V58" s="1236">
        <f>RBBD!Q43</f>
        <v>0</v>
      </c>
      <c r="W58" s="1236">
        <f>RBBD!R43</f>
        <v>0</v>
      </c>
      <c r="X58" s="1236">
        <f>RBBD!S43</f>
        <v>0</v>
      </c>
      <c r="Y58" s="1236">
        <f>RBBD!T43</f>
        <v>0</v>
      </c>
      <c r="Z58" s="65"/>
      <c r="AA58" s="324">
        <f t="shared" si="5"/>
        <v>0</v>
      </c>
    </row>
    <row r="59" spans="2:27" hidden="1">
      <c r="B59" s="1236">
        <f>RBBD!B44</f>
        <v>0</v>
      </c>
      <c r="C59" s="1236">
        <f>RBBD!C44</f>
        <v>0</v>
      </c>
      <c r="D59" s="1236">
        <f>RBBD!D44</f>
        <v>0</v>
      </c>
      <c r="E59" s="1236">
        <f>RBBD!G44</f>
        <v>0</v>
      </c>
      <c r="F59" s="1236">
        <f>RBBD!H44</f>
        <v>0</v>
      </c>
      <c r="G59" s="1236">
        <f>RBBD!E44</f>
        <v>0</v>
      </c>
      <c r="H59" s="1236">
        <f>RBBD!F44</f>
        <v>0</v>
      </c>
      <c r="I59" s="1236">
        <f t="shared" si="2"/>
        <v>0</v>
      </c>
      <c r="J59" s="1236">
        <f t="shared" si="2"/>
        <v>0</v>
      </c>
      <c r="K59" s="1236">
        <f t="shared" si="2"/>
        <v>0</v>
      </c>
      <c r="L59" s="1236">
        <f t="shared" si="2"/>
        <v>0</v>
      </c>
      <c r="M59" s="1236">
        <f t="shared" si="3"/>
        <v>0</v>
      </c>
      <c r="N59" s="1236">
        <f>RBBD!I44</f>
        <v>0</v>
      </c>
      <c r="O59" s="1236">
        <f>RBBD!J44</f>
        <v>0</v>
      </c>
      <c r="P59" s="1236">
        <f>RBBD!K44</f>
        <v>0</v>
      </c>
      <c r="Q59" s="1236">
        <f>RBBD!L44</f>
        <v>0</v>
      </c>
      <c r="R59" s="1236">
        <f>RBBD!M44</f>
        <v>0</v>
      </c>
      <c r="S59" s="1236">
        <f>RBBD!N44</f>
        <v>0</v>
      </c>
      <c r="T59" s="1236">
        <f>RBBD!O44</f>
        <v>0</v>
      </c>
      <c r="U59" s="1236">
        <f>RBBD!P44</f>
        <v>0</v>
      </c>
      <c r="V59" s="1236">
        <f>RBBD!Q44</f>
        <v>0</v>
      </c>
      <c r="W59" s="1236">
        <f>RBBD!R44</f>
        <v>0</v>
      </c>
      <c r="X59" s="1236">
        <f>RBBD!S44</f>
        <v>0</v>
      </c>
      <c r="Y59" s="1236">
        <f>RBBD!T44</f>
        <v>0</v>
      </c>
      <c r="Z59" s="65"/>
      <c r="AA59" s="324">
        <f t="shared" si="5"/>
        <v>0</v>
      </c>
    </row>
    <row r="60" spans="2:27" hidden="1">
      <c r="B60" s="1236">
        <f>RBBD!B45</f>
        <v>0</v>
      </c>
      <c r="C60" s="1236">
        <f>RBBD!C45</f>
        <v>0</v>
      </c>
      <c r="D60" s="1236">
        <f>RBBD!D45</f>
        <v>0</v>
      </c>
      <c r="E60" s="1236">
        <f>RBBD!G45</f>
        <v>0</v>
      </c>
      <c r="F60" s="1236">
        <f>RBBD!H45</f>
        <v>0</v>
      </c>
      <c r="G60" s="1236">
        <f>RBBD!E45</f>
        <v>0</v>
      </c>
      <c r="H60" s="1236">
        <f>RBBD!F45</f>
        <v>0</v>
      </c>
      <c r="I60" s="1236">
        <f t="shared" si="2"/>
        <v>0</v>
      </c>
      <c r="J60" s="1236">
        <f t="shared" si="2"/>
        <v>0</v>
      </c>
      <c r="K60" s="1236">
        <f t="shared" si="2"/>
        <v>0</v>
      </c>
      <c r="L60" s="1236">
        <f t="shared" si="2"/>
        <v>0</v>
      </c>
      <c r="M60" s="1236">
        <f t="shared" si="3"/>
        <v>0</v>
      </c>
      <c r="N60" s="1236">
        <f>RBBD!I45</f>
        <v>0</v>
      </c>
      <c r="O60" s="1236">
        <f>RBBD!J45</f>
        <v>0</v>
      </c>
      <c r="P60" s="1236">
        <f>RBBD!K45</f>
        <v>0</v>
      </c>
      <c r="Q60" s="1236">
        <f>RBBD!L45</f>
        <v>0</v>
      </c>
      <c r="R60" s="1236">
        <f>RBBD!M45</f>
        <v>0</v>
      </c>
      <c r="S60" s="1236">
        <f>RBBD!N45</f>
        <v>0</v>
      </c>
      <c r="T60" s="1236">
        <f>RBBD!O45</f>
        <v>0</v>
      </c>
      <c r="U60" s="1236">
        <f>RBBD!P45</f>
        <v>0</v>
      </c>
      <c r="V60" s="1236">
        <f>RBBD!Q45</f>
        <v>0</v>
      </c>
      <c r="W60" s="1236">
        <f>RBBD!R45</f>
        <v>0</v>
      </c>
      <c r="X60" s="1236">
        <f>RBBD!S45</f>
        <v>0</v>
      </c>
      <c r="Y60" s="1236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37" t="s">
        <v>1163</v>
      </c>
      <c r="D62" s="1238"/>
      <c r="E62" s="1238" t="e">
        <f>SUM(I18:I61)/SUM(M18:M61)</f>
        <v>#DIV/0!</v>
      </c>
      <c r="F62" s="1238" t="e">
        <f>SUM(J18:J61)/SUM(M18:M61)</f>
        <v>#DIV/0!</v>
      </c>
      <c r="G62" s="1238" t="e">
        <f>SUM(K18:K61)/SUM(M18:M61)</f>
        <v>#DIV/0!</v>
      </c>
      <c r="H62" s="1238" t="e">
        <f>SUM(L18:L61)/SUM(M18:M61)</f>
        <v>#DIV/0!</v>
      </c>
      <c r="I62" s="1239">
        <f>SUM(I16:I61)</f>
        <v>0</v>
      </c>
      <c r="J62" s="1239">
        <f>SUM(J16:J61)</f>
        <v>0</v>
      </c>
      <c r="K62" s="1239">
        <f>SUM(K16:K61)</f>
        <v>0</v>
      </c>
      <c r="L62" s="1239">
        <f>SUM(L16:L61)</f>
        <v>0</v>
      </c>
      <c r="M62" s="1239">
        <f>SUM(M17:M61)</f>
        <v>0</v>
      </c>
      <c r="N62" s="1239">
        <f>SUM(N18:N61)</f>
        <v>0</v>
      </c>
      <c r="O62" s="1239">
        <f t="shared" ref="O62:Y62" si="6">SUM(O18:O61)</f>
        <v>0</v>
      </c>
      <c r="P62" s="1239">
        <f t="shared" si="6"/>
        <v>0</v>
      </c>
      <c r="Q62" s="1239">
        <f t="shared" si="6"/>
        <v>0</v>
      </c>
      <c r="R62" s="1239">
        <f t="shared" si="6"/>
        <v>0</v>
      </c>
      <c r="S62" s="1239">
        <f t="shared" si="6"/>
        <v>0</v>
      </c>
      <c r="T62" s="1239">
        <f t="shared" si="6"/>
        <v>0</v>
      </c>
      <c r="U62" s="1239">
        <f t="shared" si="6"/>
        <v>0</v>
      </c>
      <c r="V62" s="1239">
        <f t="shared" si="6"/>
        <v>0</v>
      </c>
      <c r="W62" s="1239">
        <f t="shared" si="6"/>
        <v>0</v>
      </c>
      <c r="X62" s="1239">
        <f t="shared" si="6"/>
        <v>0</v>
      </c>
      <c r="Y62" s="1239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29" t="s">
        <v>1164</v>
      </c>
      <c r="C67" s="1229"/>
      <c r="D67" s="1229"/>
      <c r="E67" s="1229"/>
      <c r="F67" s="1229"/>
      <c r="G67" s="1229"/>
      <c r="H67" s="1229"/>
      <c r="I67" s="1229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7"/>
      <c r="E69" s="1240">
        <f>IF(MONTH(E70)=7,E70,0)</f>
        <v>0</v>
      </c>
      <c r="F69" s="1240">
        <f t="shared" ref="F69:P69" si="7">IF(MONTH(F70)=7,F70,0)</f>
        <v>0</v>
      </c>
      <c r="G69" s="1240">
        <f t="shared" si="7"/>
        <v>0</v>
      </c>
      <c r="H69" s="1240">
        <f t="shared" si="7"/>
        <v>0</v>
      </c>
      <c r="I69" s="1240">
        <f t="shared" si="7"/>
        <v>0</v>
      </c>
      <c r="J69" s="1240">
        <f t="shared" si="7"/>
        <v>0</v>
      </c>
      <c r="K69" s="1240">
        <f t="shared" si="7"/>
        <v>0</v>
      </c>
      <c r="L69" s="1240">
        <f t="shared" si="7"/>
        <v>0</v>
      </c>
      <c r="M69" s="1240">
        <f t="shared" si="7"/>
        <v>0</v>
      </c>
      <c r="N69" s="1240">
        <f t="shared" si="7"/>
        <v>0</v>
      </c>
      <c r="O69" s="1240">
        <f t="shared" si="7"/>
        <v>44743</v>
      </c>
      <c r="P69" s="1240">
        <f t="shared" si="7"/>
        <v>0</v>
      </c>
      <c r="Q69" s="771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1165</v>
      </c>
      <c r="E70" s="1241">
        <f>G76</f>
        <v>44440</v>
      </c>
      <c r="F70" s="1241">
        <f>G77</f>
        <v>44470</v>
      </c>
      <c r="G70" s="1241">
        <f>G78</f>
        <v>44501</v>
      </c>
      <c r="H70" s="1241">
        <f>G79</f>
        <v>44531</v>
      </c>
      <c r="I70" s="1241">
        <f>G80</f>
        <v>44562</v>
      </c>
      <c r="J70" s="1241">
        <f>G81</f>
        <v>44593</v>
      </c>
      <c r="K70" s="1241">
        <f>G82</f>
        <v>44621</v>
      </c>
      <c r="L70" s="1241">
        <f>G83</f>
        <v>44652</v>
      </c>
      <c r="M70" s="1241">
        <f>G84</f>
        <v>44682</v>
      </c>
      <c r="N70" s="1241">
        <f>G85</f>
        <v>44713</v>
      </c>
      <c r="O70" s="1241">
        <f>G86</f>
        <v>44743</v>
      </c>
      <c r="P70" s="1241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2" t="s">
        <v>1166</v>
      </c>
      <c r="D71" s="1243">
        <f>SUM(E71:P71)</f>
        <v>0</v>
      </c>
      <c r="E71" s="1244">
        <f>SUMIF($G$76:$G$420,E70,$N$76:$N$420)</f>
        <v>0</v>
      </c>
      <c r="F71" s="1244">
        <f t="shared" ref="F71:P71" si="8">SUMIF($G$76:$G$420,F70,$N$76:$N$420)</f>
        <v>0</v>
      </c>
      <c r="G71" s="1244">
        <f t="shared" si="8"/>
        <v>0</v>
      </c>
      <c r="H71" s="1244">
        <f t="shared" si="8"/>
        <v>0</v>
      </c>
      <c r="I71" s="1244">
        <f t="shared" si="8"/>
        <v>0</v>
      </c>
      <c r="J71" s="1244">
        <f t="shared" si="8"/>
        <v>0</v>
      </c>
      <c r="K71" s="1244">
        <f t="shared" si="8"/>
        <v>0</v>
      </c>
      <c r="L71" s="1244">
        <f t="shared" si="8"/>
        <v>0</v>
      </c>
      <c r="M71" s="1244">
        <f t="shared" si="8"/>
        <v>0</v>
      </c>
      <c r="N71" s="1244">
        <f t="shared" si="8"/>
        <v>0</v>
      </c>
      <c r="O71" s="1244">
        <f t="shared" si="8"/>
        <v>0</v>
      </c>
      <c r="P71" s="1244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2" t="s">
        <v>1167</v>
      </c>
      <c r="D72" s="1243">
        <f>SUM(E72:P72)</f>
        <v>0</v>
      </c>
      <c r="E72" s="1244">
        <f>SUMIF(Indexador!$B$25:$B$48,'Rede Básica + Ajuste'!E70,Indexador!$J$25:$J$48)</f>
        <v>0</v>
      </c>
      <c r="F72" s="1244">
        <f>SUMIF(Indexador!$B$25:$B$48,'Rede Básica + Ajuste'!F70,Indexador!$J$25:$J$48)</f>
        <v>0</v>
      </c>
      <c r="G72" s="1244">
        <f>SUMIF(Indexador!$B$25:$B$48,'Rede Básica + Ajuste'!G70,Indexador!$J$25:$J$48)</f>
        <v>0</v>
      </c>
      <c r="H72" s="1244">
        <f>SUMIF(Indexador!$B$25:$B$48,'Rede Básica + Ajuste'!H70,Indexador!$J$25:$J$48)</f>
        <v>0</v>
      </c>
      <c r="I72" s="1244">
        <f>SUMIF(Indexador!$B$25:$B$48,'Rede Básica + Ajuste'!I70,Indexador!$J$25:$J$48)</f>
        <v>0</v>
      </c>
      <c r="J72" s="1244">
        <f>SUMIF(Indexador!$B$25:$B$48,'Rede Básica + Ajuste'!J70,Indexador!$J$25:$J$48)</f>
        <v>0</v>
      </c>
      <c r="K72" s="1244">
        <f>SUMIF(Indexador!$B$25:$B$48,'Rede Básica + Ajuste'!K70,Indexador!$J$25:$J$48)</f>
        <v>0</v>
      </c>
      <c r="L72" s="1244">
        <f>SUMIF(Indexador!$B$25:$B$48,'Rede Básica + Ajuste'!L70,Indexador!$J$25:$J$48)</f>
        <v>0</v>
      </c>
      <c r="M72" s="1244">
        <f>SUMIF(Indexador!$B$25:$B$48,'Rede Básica + Ajuste'!M70,Indexador!$J$25:$J$48)</f>
        <v>0</v>
      </c>
      <c r="N72" s="1244">
        <f>SUMIF(Indexador!$B$25:$B$48,'Rede Básica + Ajuste'!N70,Indexador!$J$25:$J$48)</f>
        <v>0</v>
      </c>
      <c r="O72" s="1244">
        <f>SUMIF(Indexador!$B$25:$B$48,'Rede Básica + Ajuste'!O70,Indexador!$J$25:$J$48)</f>
        <v>0</v>
      </c>
      <c r="P72" s="1244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22" t="s">
        <v>1168</v>
      </c>
      <c r="K74" s="1823"/>
      <c r="L74" s="1824" t="s">
        <v>1169</v>
      </c>
      <c r="M74" s="1824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25" t="s">
        <v>1151</v>
      </c>
      <c r="D75" s="1826"/>
      <c r="F75" s="270"/>
      <c r="G75" s="1245" t="s">
        <v>646</v>
      </c>
      <c r="H75" s="1246" t="s">
        <v>1170</v>
      </c>
      <c r="I75" s="1246" t="s">
        <v>1171</v>
      </c>
      <c r="J75" s="1247" t="s">
        <v>1172</v>
      </c>
      <c r="K75" s="1247" t="s">
        <v>1173</v>
      </c>
      <c r="L75" s="1247" t="s">
        <v>1172</v>
      </c>
      <c r="M75" s="1247" t="s">
        <v>1173</v>
      </c>
      <c r="N75" s="277" t="s">
        <v>1174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2" t="s">
        <v>1175</v>
      </c>
      <c r="D76" s="1248">
        <f>IF(D18="Ponta",B18,0)</f>
        <v>0</v>
      </c>
      <c r="E76" s="18"/>
      <c r="F76" s="270"/>
      <c r="G76" s="1249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0">
        <f>IF(MONTH(DataRevRea)=7,'Rede Básica + Ajuste'!J76,IF(G76&lt;$Q$69,(SUMIFS($E$18:$E$60,$B$18:$B$60,$D$76,$D$18:$D$60,"Ponta")),(SUMIFS($F$18:$F$60,$B$18:$B$60,$D$76,$D$18:$D$60,"Ponta"))))</f>
        <v>0</v>
      </c>
      <c r="M76" s="1250">
        <f>IF(MONTH(DataRevRea)=7,'Rede Básica + Ajuste'!K76,IF(G76&lt;$Q$69,(SUMIFS($E$18:$E$60,$B$18:$B$60,$D$76,$D$18:$D$60,"Fora Ponta")),(SUMIFS($F$18:$F$60,$B$18:$B$60,$D$76,$D$18:$D$60,"Fora Ponta"))))</f>
        <v>0</v>
      </c>
      <c r="N76" s="1251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2" t="s">
        <v>1176</v>
      </c>
      <c r="E78" s="1253" t="s">
        <v>1177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4" t="str">
        <f>"Cobertura "&amp;YEAR(CAPA!C14)</f>
        <v>Cobertura 2021</v>
      </c>
      <c r="D79" s="1255">
        <f>SUMPRODUCT(H76:H87,J76:J87)</f>
        <v>0</v>
      </c>
      <c r="E79" s="1255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4" t="s">
        <v>1178</v>
      </c>
      <c r="D80" s="1255">
        <f>SUMPRODUCT(H76:H87,L76:L87)</f>
        <v>0</v>
      </c>
      <c r="E80" s="1255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6">
        <f t="shared" si="12"/>
        <v>44774</v>
      </c>
      <c r="H87" s="1257">
        <f>SUMIFS($Y$18:$Y$60,$B$18:$B$60,$D$76,$D$18:$D$60,"Ponta")</f>
        <v>0</v>
      </c>
      <c r="I87" s="1257">
        <f>SUMIFS($Y$18:$Y$60,$B$18:$B$60,$D$76,$D$18:$D$60,"Fora Ponta")</f>
        <v>0</v>
      </c>
      <c r="J87" s="1257">
        <f t="shared" si="9"/>
        <v>0</v>
      </c>
      <c r="K87" s="1257">
        <f t="shared" si="10"/>
        <v>0</v>
      </c>
      <c r="L87" s="1257">
        <f>IF(MONTH(DataRevRea)=7,'Rede Básica + Ajuste'!J87,IF(G87&lt;$Q$69,(SUMIFS($E$18:$E$60,$B$18:$B$60,$D$76,$D$18:$D$60,"Ponta")),(SUMIFS($F$18:$F$60,$B$18:$B$60,$D$76,$D$18:$D$60,"Ponta"))))</f>
        <v>0</v>
      </c>
      <c r="M87" s="1257">
        <f>IF(MONTH(DataRevRea)=7,'Rede Básica + Ajuste'!K87,IF(G87&lt;$Q$69,(SUMIFS($E$18:$E$60,$B$18:$B$60,$D$76,$D$18:$D$60,"Fora Ponta")),(SUMIFS($F$18:$F$60,$B$18:$B$60,$D$76,$D$18:$D$60,"Fora Ponta"))))</f>
        <v>0</v>
      </c>
      <c r="N87" s="1258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22" t="s">
        <v>1168</v>
      </c>
      <c r="K89" s="1823"/>
      <c r="L89" s="1824" t="s">
        <v>1169</v>
      </c>
      <c r="M89" s="1824"/>
      <c r="N89" s="278"/>
    </row>
    <row r="90" spans="2:50" ht="15.75">
      <c r="C90" s="1825" t="s">
        <v>1179</v>
      </c>
      <c r="D90" s="1826"/>
      <c r="F90" s="270"/>
      <c r="G90" s="1245" t="s">
        <v>646</v>
      </c>
      <c r="H90" s="1246" t="s">
        <v>1170</v>
      </c>
      <c r="I90" s="1246" t="s">
        <v>1171</v>
      </c>
      <c r="J90" s="1247" t="s">
        <v>1172</v>
      </c>
      <c r="K90" s="1247" t="s">
        <v>1173</v>
      </c>
      <c r="L90" s="1247" t="s">
        <v>1172</v>
      </c>
      <c r="M90" s="1247" t="s">
        <v>1173</v>
      </c>
      <c r="N90" s="277" t="s">
        <v>1174</v>
      </c>
    </row>
    <row r="91" spans="2:50" ht="15.75">
      <c r="C91" s="1242" t="s">
        <v>1175</v>
      </c>
      <c r="D91" s="1248">
        <f>IF(D18="Ponta",B18,0)</f>
        <v>0</v>
      </c>
      <c r="E91" s="18"/>
      <c r="F91" s="270"/>
      <c r="G91" s="1249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0">
        <f>IF(MONTH(DataRevRea)=7,'Rede Básica + Ajuste'!J91,IF(G91&lt;$Q$69,(SUMIFS($G$18:$G$60,$B$18:$B$60,$D$91,$D$18:$D$60,"Ponta")),(SUMIFS($H$18:$H$60,$B$18:$B$60,$D$91,$D$18:$D$60,"Ponta"))))</f>
        <v>0</v>
      </c>
      <c r="M91" s="1250">
        <f>IF(MONTH(DataRevRea)=7,'Rede Básica + Ajuste'!K91,IF(G91&lt;$Q$69,(SUMIFS($G$18:$G$60,$B$18:$B$60,$D$91,$D$18:$D$60,"Fora Ponta")),(SUMIFS($H$18:$H$60,$B$18:$B$60,$D$91,$D$18:$D$60,"Fora Ponta"))))</f>
        <v>0</v>
      </c>
      <c r="N91" s="1251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2" t="s">
        <v>1176</v>
      </c>
      <c r="E93" s="1253" t="s">
        <v>1177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4" t="str">
        <f>C79</f>
        <v>Cobertura 2021</v>
      </c>
      <c r="D94" s="1255">
        <f>SUMPRODUCT(H91:H102,J91:J102)</f>
        <v>0</v>
      </c>
      <c r="E94" s="1255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4" t="s">
        <v>1178</v>
      </c>
      <c r="D95" s="1255">
        <f>SUMPRODUCT(H91:H102,L91:L102)</f>
        <v>0</v>
      </c>
      <c r="E95" s="1255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6">
        <f t="shared" si="13"/>
        <v>44774</v>
      </c>
      <c r="H102" s="1257">
        <f t="shared" si="13"/>
        <v>0</v>
      </c>
      <c r="I102" s="1257">
        <f t="shared" si="13"/>
        <v>0</v>
      </c>
      <c r="J102" s="1257">
        <f t="shared" si="14"/>
        <v>0</v>
      </c>
      <c r="K102" s="1257">
        <f t="shared" si="15"/>
        <v>0</v>
      </c>
      <c r="L102" s="1257">
        <f>IF(MONTH(DataRevRea)=7,'Rede Básica + Ajuste'!J102,IF(G102&lt;$Q$69,(SUMIFS($G$18:$G$60,$B$18:$B$60,$D$91,$D$18:$D$60,"Ponta")),(SUMIFS($H$18:$H$60,$B$18:$B$60,$D$91,$D$18:$D$60,"Ponta"))))</f>
        <v>0</v>
      </c>
      <c r="M102" s="1257">
        <f>IF(MONTH(DataRevRea)=7,'Rede Básica + Ajuste'!K102,IF(G102&lt;$Q$69,(SUMIFS($G$18:$G$60,$B$18:$B$60,$D$91,$D$18:$D$60,"Fora Ponta")),(SUMIFS($H$18:$H$60,$B$18:$B$60,$D$91,$D$18:$D$60,"Fora Ponta"))))</f>
        <v>0</v>
      </c>
      <c r="N102" s="1258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22" t="s">
        <v>1168</v>
      </c>
      <c r="K104" s="1823"/>
      <c r="L104" s="1824" t="s">
        <v>1169</v>
      </c>
      <c r="M104" s="1824"/>
      <c r="N104" s="278"/>
    </row>
    <row r="105" spans="3:14" ht="15.75">
      <c r="C105" s="1825" t="s">
        <v>1151</v>
      </c>
      <c r="D105" s="1826"/>
      <c r="F105" s="270"/>
      <c r="G105" s="1245" t="s">
        <v>646</v>
      </c>
      <c r="H105" s="1246" t="s">
        <v>1170</v>
      </c>
      <c r="I105" s="1246" t="s">
        <v>1171</v>
      </c>
      <c r="J105" s="1247" t="s">
        <v>1172</v>
      </c>
      <c r="K105" s="1247" t="s">
        <v>1173</v>
      </c>
      <c r="L105" s="1247" t="s">
        <v>1172</v>
      </c>
      <c r="M105" s="1247" t="s">
        <v>1173</v>
      </c>
      <c r="N105" s="277" t="s">
        <v>1174</v>
      </c>
    </row>
    <row r="106" spans="3:14" ht="15.75">
      <c r="C106" s="1242" t="s">
        <v>1175</v>
      </c>
      <c r="D106" s="1259">
        <f>IF(D19="Ponta",B19,0)</f>
        <v>0</v>
      </c>
      <c r="E106" s="18"/>
      <c r="F106" s="270"/>
      <c r="G106" s="1249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0">
        <f>IF(MONTH(DataRevRea)=7,'Rede Básica + Ajuste'!J106,IF(G106&lt;$Q$69,(SUMIFS($E$18:$E$60,$B$18:$B$60,$D$106,$D$18:$D$60,"Ponta")),(SUMIFS($F$18:$F$60,$B$18:$B$60,$D$106,$D$18:$D$60,"Ponta"))))</f>
        <v>0</v>
      </c>
      <c r="M106" s="1250">
        <f>IF(MONTH(DataRevRea)=7,'Rede Básica + Ajuste'!K106,IF(G106&lt;$Q$69,(SUMIFS($E$18:$E$60,$B$18:$B$60,$D$106,$D$18:$D$60,"Fora Ponta")),(SUMIFS($F$18:$F$60,$B$18:$B$60,$D$106,$D$18:$D$60,"Fora Ponta"))))</f>
        <v>0</v>
      </c>
      <c r="N106" s="1251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2" t="s">
        <v>1176</v>
      </c>
      <c r="E108" s="1253" t="s">
        <v>1177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4" t="str">
        <f>C94</f>
        <v>Cobertura 2021</v>
      </c>
      <c r="D109" s="1255">
        <f>SUMPRODUCT(H106:H117,J106:J117)</f>
        <v>0</v>
      </c>
      <c r="E109" s="1255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4" t="s">
        <v>1178</v>
      </c>
      <c r="D110" s="1255">
        <f>SUMPRODUCT(H106:H117,L106:L117)</f>
        <v>0</v>
      </c>
      <c r="E110" s="1255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6">
        <f t="shared" si="17"/>
        <v>44774</v>
      </c>
      <c r="H117" s="1257">
        <f>SUMIFS($Y$18:$Y$60,$B$18:$B$60,$D$106,$D$18:$D$60,"Ponta")</f>
        <v>0</v>
      </c>
      <c r="I117" s="1257">
        <f>SUMIFS($Y$18:$Y$60,$B$18:$B$60,$D$106,$D$18:$D$60,"Fora Ponta")</f>
        <v>0</v>
      </c>
      <c r="J117" s="1257">
        <f t="shared" si="18"/>
        <v>0</v>
      </c>
      <c r="K117" s="1257">
        <f t="shared" si="19"/>
        <v>0</v>
      </c>
      <c r="L117" s="1257">
        <f>IF(MONTH(DataRevRea)=7,'Rede Básica + Ajuste'!J117,IF(G117&lt;$Q$69,(SUMIFS($E$18:$E$60,$B$18:$B$60,$D$106,$D$18:$D$60,"Ponta")),(SUMIFS($F$18:$F$60,$B$18:$B$60,$D$106,$D$18:$D$60,"Ponta"))))</f>
        <v>0</v>
      </c>
      <c r="M117" s="1257">
        <f>IF(MONTH(DataRevRea)=7,'Rede Básica + Ajuste'!K117,IF(G117&lt;$Q$69,(SUMIFS($E$18:$E$60,$B$18:$B$60,$D$106,$D$18:$D$60,"Fora Ponta")),(SUMIFS($F$18:$F$60,$B$18:$B$60,$D$106,$D$18:$D$60,"Fora Ponta"))))</f>
        <v>0</v>
      </c>
      <c r="N117" s="1258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22" t="s">
        <v>1168</v>
      </c>
      <c r="K119" s="1823"/>
      <c r="L119" s="1824" t="s">
        <v>1169</v>
      </c>
      <c r="M119" s="1824"/>
      <c r="N119" s="278"/>
    </row>
    <row r="120" spans="3:14" ht="15.75">
      <c r="C120" s="1825" t="s">
        <v>1179</v>
      </c>
      <c r="D120" s="1826"/>
      <c r="F120" s="270"/>
      <c r="G120" s="1245" t="s">
        <v>646</v>
      </c>
      <c r="H120" s="1246" t="s">
        <v>1170</v>
      </c>
      <c r="I120" s="1246" t="s">
        <v>1171</v>
      </c>
      <c r="J120" s="1247" t="s">
        <v>1172</v>
      </c>
      <c r="K120" s="1247" t="s">
        <v>1173</v>
      </c>
      <c r="L120" s="1247" t="s">
        <v>1172</v>
      </c>
      <c r="M120" s="1247" t="s">
        <v>1173</v>
      </c>
      <c r="N120" s="277" t="s">
        <v>1174</v>
      </c>
    </row>
    <row r="121" spans="3:14" ht="15.75">
      <c r="C121" s="1242" t="s">
        <v>1175</v>
      </c>
      <c r="D121" s="1259">
        <f>IF(D19="Ponta",B19,0)</f>
        <v>0</v>
      </c>
      <c r="E121" s="18"/>
      <c r="F121" s="270"/>
      <c r="G121" s="1249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0">
        <f>IF(MONTH(DataRevRea)=7,'Rede Básica + Ajuste'!J121,IF(G121&lt;$Q$69,(SUMIFS($G$18:$G$60,$B$18:$B$60,$D$121,$D$18:$D$60,"Ponta")),(SUMIFS($H$18:$H$60,$B$18:$B$60,$D$121,$D$18:$D$60,"Ponta"))))</f>
        <v>0</v>
      </c>
      <c r="M121" s="1250">
        <f>IF(MONTH(DataRevRea)=7,'Rede Básica + Ajuste'!K121,IF(G121&lt;$Q$69,(SUMIFS($G$18:$G$60,$B$18:$B$60,$D$121,$D$18:$D$60,"Fora Ponta")),(SUMIFS($H$18:$H$60,$B$18:$B$60,$D$121,$D$18:$D$60,"Fora Ponta"))))</f>
        <v>0</v>
      </c>
      <c r="N121" s="1251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2" t="s">
        <v>1176</v>
      </c>
      <c r="E123" s="1253" t="s">
        <v>1177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4" t="str">
        <f>C109</f>
        <v>Cobertura 2021</v>
      </c>
      <c r="D124" s="1255">
        <f>SUMPRODUCT(H121:H132,J121:J132)</f>
        <v>0</v>
      </c>
      <c r="E124" s="1255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4" t="s">
        <v>1178</v>
      </c>
      <c r="D125" s="1255">
        <f>SUMPRODUCT(H121:H132,L121:L132)</f>
        <v>0</v>
      </c>
      <c r="E125" s="1255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6">
        <f t="shared" si="21"/>
        <v>44774</v>
      </c>
      <c r="H132" s="1257">
        <f t="shared" si="21"/>
        <v>0</v>
      </c>
      <c r="I132" s="1257">
        <f t="shared" si="21"/>
        <v>0</v>
      </c>
      <c r="J132" s="1257">
        <f t="shared" si="22"/>
        <v>0</v>
      </c>
      <c r="K132" s="1257">
        <f t="shared" si="23"/>
        <v>0</v>
      </c>
      <c r="L132" s="1257">
        <f>IF(MONTH(DataRevRea)=7,'Rede Básica + Ajuste'!J132,IF(G132&lt;$Q$69,(SUMIFS($G$18:$G$60,$B$18:$B$60,$D$121,$D$18:$D$60,"Ponta")),(SUMIFS($H$18:$H$60,$B$18:$B$60,$D$121,$D$18:$D$60,"Ponta"))))</f>
        <v>0</v>
      </c>
      <c r="M132" s="1257">
        <f>IF(MONTH(DataRevRea)=7,'Rede Básica + Ajuste'!K132,IF(G132&lt;$Q$69,(SUMIFS($G$18:$G$60,$B$18:$B$60,$D$121,$D$18:$D$60,"Fora Ponta")),(SUMIFS($H$18:$H$60,$B$18:$B$60,$D$121,$D$18:$D$60,"Fora Ponta"))))</f>
        <v>0</v>
      </c>
      <c r="N132" s="1258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22" t="s">
        <v>1168</v>
      </c>
      <c r="K134" s="1823"/>
      <c r="L134" s="1824" t="s">
        <v>1169</v>
      </c>
      <c r="M134" s="1824"/>
      <c r="N134" s="278"/>
    </row>
    <row r="135" spans="3:14" ht="15.75">
      <c r="C135" s="1825" t="s">
        <v>1151</v>
      </c>
      <c r="D135" s="1826"/>
      <c r="F135" s="270"/>
      <c r="G135" s="1245" t="s">
        <v>646</v>
      </c>
      <c r="H135" s="1246" t="s">
        <v>1170</v>
      </c>
      <c r="I135" s="1246" t="s">
        <v>1171</v>
      </c>
      <c r="J135" s="1247" t="s">
        <v>1172</v>
      </c>
      <c r="K135" s="1247" t="s">
        <v>1173</v>
      </c>
      <c r="L135" s="1247" t="s">
        <v>1172</v>
      </c>
      <c r="M135" s="1247" t="s">
        <v>1173</v>
      </c>
      <c r="N135" s="277" t="s">
        <v>1174</v>
      </c>
    </row>
    <row r="136" spans="3:14" ht="15.75">
      <c r="C136" s="1242" t="s">
        <v>1175</v>
      </c>
      <c r="D136" s="1259">
        <f>IF(D20="Ponta",B20,0)</f>
        <v>0</v>
      </c>
      <c r="E136" s="18"/>
      <c r="F136" s="270"/>
      <c r="G136" s="1249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0">
        <f>IF(MONTH(DataRevRea)=7,'Rede Básica + Ajuste'!J136,IF(G136&lt;$Q$69,(SUMIFS($E$18:$E$60,$B$18:$B$60,$D$136,$D$18:$D$60,"Ponta")),(SUMIFS($F$18:$F$60,$B$18:$B$60,$D$136,$D$18:$D$60,"Ponta"))))</f>
        <v>0</v>
      </c>
      <c r="M136" s="1250">
        <f>IF(MONTH(DataRevRea)=7,'Rede Básica + Ajuste'!K136,IF(G136&lt;$Q$69,(SUMIFS($E$18:$E$60,$B$18:$B$60,$D$136,$D$18:$D$60,"Fora Ponta")),(SUMIFS($F$18:$F$60,$B$18:$B$60,$D$136,$D$18:$D$60,"Fora Ponta"))))</f>
        <v>0</v>
      </c>
      <c r="N136" s="1251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2" t="s">
        <v>1176</v>
      </c>
      <c r="E138" s="1253" t="s">
        <v>1177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4" t="str">
        <f>C124</f>
        <v>Cobertura 2021</v>
      </c>
      <c r="D139" s="1255">
        <f>SUMPRODUCT(H136:H147,J136:J147)</f>
        <v>0</v>
      </c>
      <c r="E139" s="1255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4" t="s">
        <v>1178</v>
      </c>
      <c r="D140" s="1255">
        <f>SUMPRODUCT(H136:H147,L136:L147)</f>
        <v>0</v>
      </c>
      <c r="E140" s="1255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6">
        <f t="shared" si="25"/>
        <v>44774</v>
      </c>
      <c r="H147" s="1257">
        <f>SUMIFS($Y$18:$Y$60,$B$18:$B$60,$D$136,$D$18:$D$60,"Ponta")</f>
        <v>0</v>
      </c>
      <c r="I147" s="1257">
        <f>SUMIFS($Y$18:$Y$60,$B$18:$B$60,$D$136,$D$18:$D$60,"Fora Ponta")</f>
        <v>0</v>
      </c>
      <c r="J147" s="1257">
        <f t="shared" si="26"/>
        <v>0</v>
      </c>
      <c r="K147" s="1257">
        <f t="shared" si="27"/>
        <v>0</v>
      </c>
      <c r="L147" s="1257">
        <f>IF(MONTH(DataRevRea)=7,'Rede Básica + Ajuste'!J147,IF(G147&lt;$Q$69,(SUMIFS($E$18:$E$60,$B$18:$B$60,$D$136,$D$18:$D$60,"Ponta")),(SUMIFS($F$18:$F$60,$B$18:$B$60,$D$136,$D$18:$D$60,"Ponta"))))</f>
        <v>0</v>
      </c>
      <c r="M147" s="1257">
        <f>IF(MONTH(DataRevRea)=7,'Rede Básica + Ajuste'!K147,IF(G147&lt;$Q$69,(SUMIFS($E$18:$E$60,$B$18:$B$60,$D$136,$D$18:$D$60,"Fora Ponta")),(SUMIFS($F$18:$F$60,$B$18:$B$60,$D$136,$D$18:$D$60,"Fora Ponta"))))</f>
        <v>0</v>
      </c>
      <c r="N147" s="1258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22" t="s">
        <v>1168</v>
      </c>
      <c r="K149" s="1823"/>
      <c r="L149" s="1824" t="s">
        <v>1169</v>
      </c>
      <c r="M149" s="1824"/>
      <c r="N149" s="278"/>
    </row>
    <row r="150" spans="3:14" ht="15.75">
      <c r="C150" s="1825" t="s">
        <v>1179</v>
      </c>
      <c r="D150" s="1826"/>
      <c r="F150" s="270"/>
      <c r="G150" s="1245" t="s">
        <v>646</v>
      </c>
      <c r="H150" s="1246" t="s">
        <v>1170</v>
      </c>
      <c r="I150" s="1246" t="s">
        <v>1171</v>
      </c>
      <c r="J150" s="1247" t="s">
        <v>1172</v>
      </c>
      <c r="K150" s="1247" t="s">
        <v>1173</v>
      </c>
      <c r="L150" s="1247" t="s">
        <v>1172</v>
      </c>
      <c r="M150" s="1247" t="s">
        <v>1173</v>
      </c>
      <c r="N150" s="277" t="s">
        <v>1174</v>
      </c>
    </row>
    <row r="151" spans="3:14" ht="15.75">
      <c r="C151" s="1242" t="s">
        <v>1175</v>
      </c>
      <c r="D151" s="1259">
        <f>IF(D20="Ponta",B20,0)</f>
        <v>0</v>
      </c>
      <c r="E151" s="18"/>
      <c r="F151" s="270"/>
      <c r="G151" s="1249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0">
        <f>IF(MONTH(DataRevRea)=7,'Rede Básica + Ajuste'!J151,IF(G151&lt;$Q$69,(SUMIFS($G$18:$G$60,$B$18:$B$60,$D$151,$D$18:$D$60,"Ponta")),(SUMIFS($H$18:$H$60,$B$18:$B$60,$D$151,$D$18:$D$60,"Ponta"))))</f>
        <v>0</v>
      </c>
      <c r="M151" s="1250">
        <f>IF(MONTH(DataRevRea)=7,'Rede Básica + Ajuste'!K151,IF(G151&lt;$Q$69,(SUMIFS($G$18:$G$60,$B$18:$B$60,$D$151,$D$18:$D$60,"Fora Ponta")),(SUMIFS($H$18:$H$60,$B$18:$B$60,$D$151,$D$18:$D$60,"Fora Ponta"))))</f>
        <v>0</v>
      </c>
      <c r="N151" s="1251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2" t="s">
        <v>1176</v>
      </c>
      <c r="E153" s="1253" t="s">
        <v>1177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4" t="str">
        <f>C139</f>
        <v>Cobertura 2021</v>
      </c>
      <c r="D154" s="1255">
        <f>SUMPRODUCT(H151:H162,J151:J162)</f>
        <v>0</v>
      </c>
      <c r="E154" s="1255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4" t="s">
        <v>1178</v>
      </c>
      <c r="D155" s="1255">
        <f>SUMPRODUCT(H151:H162,L151:L162)</f>
        <v>0</v>
      </c>
      <c r="E155" s="1255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6">
        <f t="shared" si="29"/>
        <v>44774</v>
      </c>
      <c r="H162" s="1257">
        <f t="shared" si="29"/>
        <v>0</v>
      </c>
      <c r="I162" s="1257">
        <f t="shared" si="29"/>
        <v>0</v>
      </c>
      <c r="J162" s="1257">
        <f t="shared" si="30"/>
        <v>0</v>
      </c>
      <c r="K162" s="1257">
        <f t="shared" si="31"/>
        <v>0</v>
      </c>
      <c r="L162" s="1257">
        <f>IF(MONTH(DataRevRea)=7,'Rede Básica + Ajuste'!J162,IF(G162&lt;$Q$69,(SUMIFS($G$18:$G$60,$B$18:$B$60,$D$151,$D$18:$D$60,"Ponta")),(SUMIFS($H$18:$H$60,$B$18:$B$60,$D$151,$D$18:$D$60,"Ponta"))))</f>
        <v>0</v>
      </c>
      <c r="M162" s="1257">
        <f>IF(MONTH(DataRevRea)=7,'Rede Básica + Ajuste'!K162,IF(G162&lt;$Q$69,(SUMIFS($G$18:$G$60,$B$18:$B$60,$D$151,$D$18:$D$60,"Fora Ponta")),(SUMIFS($H$18:$H$60,$B$18:$B$60,$D$151,$D$18:$D$60,"Fora Ponta"))))</f>
        <v>0</v>
      </c>
      <c r="N162" s="1258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22" t="s">
        <v>1168</v>
      </c>
      <c r="K164" s="1823"/>
      <c r="L164" s="1824" t="s">
        <v>1169</v>
      </c>
      <c r="M164" s="1824"/>
      <c r="N164" s="278"/>
    </row>
    <row r="165" spans="3:14" ht="15.75">
      <c r="C165" s="1825" t="s">
        <v>1151</v>
      </c>
      <c r="D165" s="1826"/>
      <c r="F165" s="270"/>
      <c r="G165" s="1245" t="s">
        <v>646</v>
      </c>
      <c r="H165" s="1246" t="s">
        <v>1170</v>
      </c>
      <c r="I165" s="1246" t="s">
        <v>1171</v>
      </c>
      <c r="J165" s="1247" t="s">
        <v>1172</v>
      </c>
      <c r="K165" s="1247" t="s">
        <v>1173</v>
      </c>
      <c r="L165" s="1247" t="s">
        <v>1172</v>
      </c>
      <c r="M165" s="1247" t="s">
        <v>1173</v>
      </c>
      <c r="N165" s="277" t="s">
        <v>1174</v>
      </c>
    </row>
    <row r="166" spans="3:14" ht="15.75">
      <c r="C166" s="1242" t="s">
        <v>1175</v>
      </c>
      <c r="D166" s="1259">
        <f>IF(D21="Ponta",B21,0)</f>
        <v>0</v>
      </c>
      <c r="E166" s="18"/>
      <c r="F166" s="270"/>
      <c r="G166" s="1249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0">
        <f>IF(MONTH(DataRevRea)=7,'Rede Básica + Ajuste'!J166,IF(G166&lt;$Q$69,(SUMIFS($E$18:$E$60,$B$18:$B$60,$D$166,$D$18:$D$60,"Ponta")),(SUMIFS($F$18:$F$60,$B$18:$B$60,$D$166,$D$18:$D$60,"Ponta"))))</f>
        <v>0</v>
      </c>
      <c r="M166" s="1250">
        <f>IF(MONTH(DataRevRea)=7,'Rede Básica + Ajuste'!K166,IF(G166&lt;$Q$69,(SUMIFS($E$18:$E$60,$B$18:$B$60,$D$166,$D$18:$D$60,"Fora Ponta")),(SUMIFS($F$18:$F$60,$B$18:$B$60,$D$166,$D$18:$D$60,"Fora Ponta"))))</f>
        <v>0</v>
      </c>
      <c r="N166" s="1251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2" t="s">
        <v>1176</v>
      </c>
      <c r="E168" s="1253" t="s">
        <v>1177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4" t="str">
        <f>C154</f>
        <v>Cobertura 2021</v>
      </c>
      <c r="D169" s="1255">
        <f>SUMPRODUCT(H166:H177,J166:J177)</f>
        <v>0</v>
      </c>
      <c r="E169" s="1255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4" t="s">
        <v>1178</v>
      </c>
      <c r="D170" s="1255">
        <f>SUMPRODUCT(H166:H177,L166:L177)</f>
        <v>0</v>
      </c>
      <c r="E170" s="1255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6">
        <f t="shared" si="33"/>
        <v>44774</v>
      </c>
      <c r="H177" s="1257">
        <f>SUMIFS($Y$18:$Y$60,$B$18:$B$60,$D$166,$D$18:$D$60,"Ponta")</f>
        <v>0</v>
      </c>
      <c r="I177" s="1257">
        <f>SUMIFS($Y$18:$Y$60,$B$18:$B$60,$D$166,$D$18:$D$60,"Fora Ponta")</f>
        <v>0</v>
      </c>
      <c r="J177" s="1257">
        <f t="shared" si="34"/>
        <v>0</v>
      </c>
      <c r="K177" s="1257">
        <f t="shared" si="35"/>
        <v>0</v>
      </c>
      <c r="L177" s="1257">
        <f>IF(MONTH(DataRevRea)=7,'Rede Básica + Ajuste'!J177,IF(G177&lt;$Q$69,(SUMIFS($E$18:$E$60,$B$18:$B$60,$D$166,$D$18:$D$60,"Ponta")),(SUMIFS($F$18:$F$60,$B$18:$B$60,$D$166,$D$18:$D$60,"Ponta"))))</f>
        <v>0</v>
      </c>
      <c r="M177" s="1257">
        <f>IF(MONTH(DataRevRea)=7,'Rede Básica + Ajuste'!K177,IF(G177&lt;$Q$69,(SUMIFS($E$18:$E$60,$B$18:$B$60,$D$166,$D$18:$D$60,"Fora Ponta")),(SUMIFS($F$18:$F$60,$B$18:$B$60,$D$166,$D$18:$D$60,"Fora Ponta"))))</f>
        <v>0</v>
      </c>
      <c r="N177" s="1258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22" t="s">
        <v>1168</v>
      </c>
      <c r="K179" s="1823"/>
      <c r="L179" s="1824" t="s">
        <v>1169</v>
      </c>
      <c r="M179" s="1824"/>
      <c r="N179" s="278"/>
    </row>
    <row r="180" spans="3:14" ht="15.75">
      <c r="C180" s="1825" t="s">
        <v>1179</v>
      </c>
      <c r="D180" s="1826"/>
      <c r="F180" s="270"/>
      <c r="G180" s="1245" t="s">
        <v>646</v>
      </c>
      <c r="H180" s="1246" t="s">
        <v>1170</v>
      </c>
      <c r="I180" s="1246" t="s">
        <v>1171</v>
      </c>
      <c r="J180" s="1247" t="s">
        <v>1172</v>
      </c>
      <c r="K180" s="1247" t="s">
        <v>1173</v>
      </c>
      <c r="L180" s="1247" t="s">
        <v>1172</v>
      </c>
      <c r="M180" s="1247" t="s">
        <v>1173</v>
      </c>
      <c r="N180" s="277" t="s">
        <v>1174</v>
      </c>
    </row>
    <row r="181" spans="3:14" ht="15.75">
      <c r="C181" s="1242" t="s">
        <v>1175</v>
      </c>
      <c r="D181" s="1259">
        <f>IF(D21="Ponta",B21,0)</f>
        <v>0</v>
      </c>
      <c r="E181" s="18"/>
      <c r="F181" s="270"/>
      <c r="G181" s="1249">
        <f>G166</f>
        <v>44440</v>
      </c>
      <c r="H181" s="272">
        <f>H166</f>
        <v>0</v>
      </c>
      <c r="I181" s="272">
        <f>I166</f>
        <v>0</v>
      </c>
      <c r="J181" s="1250">
        <f>SUMIFS($G$18:$G$60,$B$18:$B$60,$D$181,$D$18:$D$60,"Ponta")</f>
        <v>0</v>
      </c>
      <c r="K181" s="1250">
        <f>SUMIFS($G$18:$G$60,$B$18:$B$60,$D$181,$D$18:$D$60,"Fora Ponta")</f>
        <v>0</v>
      </c>
      <c r="L181" s="1250">
        <f>IF(MONTH(DataRevRea)=7,'Rede Básica + Ajuste'!J181,IF(G181&lt;$Q$69,(SUMIFS($G$18:$G$60,$B$18:$B$60,$D$181,$D$18:$D$60,"Ponta")),(SUMIFS($H$18:$H$60,$B$18:$B$60,$D$181,$D$18:$D$60,"Ponta"))))</f>
        <v>0</v>
      </c>
      <c r="M181" s="1250">
        <f>IF(MONTH(DataRevRea)=7,'Rede Básica + Ajuste'!K181,IF(G181&lt;$Q$69,(SUMIFS($G$18:$G$60,$B$18:$B$60,$D$181,$D$18:$D$60,"Fora Ponta")),(SUMIFS($H$18:$H$60,$B$18:$B$60,$D$181,$D$18:$D$60,"Fora Ponta"))))</f>
        <v>0</v>
      </c>
      <c r="N181" s="1251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2" t="s">
        <v>1176</v>
      </c>
      <c r="E183" s="1253" t="s">
        <v>1177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4" t="str">
        <f>C169</f>
        <v>Cobertura 2021</v>
      </c>
      <c r="D184" s="1255">
        <f>SUMPRODUCT(H181:H192,J181:J192)</f>
        <v>0</v>
      </c>
      <c r="E184" s="1255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4" t="s">
        <v>1178</v>
      </c>
      <c r="D185" s="1255">
        <f>SUMPRODUCT(H181:H192,L181:L192)</f>
        <v>0</v>
      </c>
      <c r="E185" s="1255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6">
        <f t="shared" si="37"/>
        <v>44774</v>
      </c>
      <c r="H192" s="1257">
        <f t="shared" si="37"/>
        <v>0</v>
      </c>
      <c r="I192" s="1257">
        <f t="shared" si="37"/>
        <v>0</v>
      </c>
      <c r="J192" s="1257">
        <f t="shared" si="38"/>
        <v>0</v>
      </c>
      <c r="K192" s="1257">
        <f t="shared" si="39"/>
        <v>0</v>
      </c>
      <c r="L192" s="1257">
        <f>IF(MONTH(DataRevRea)=7,'Rede Básica + Ajuste'!J192,IF(G192&lt;$Q$69,(SUMIFS($G$18:$G$60,$B$18:$B$60,$D$181,$D$18:$D$60,"Ponta")),(SUMIFS($H$18:$H$60,$B$18:$B$60,$D$181,$D$18:$D$60,"Ponta"))))</f>
        <v>0</v>
      </c>
      <c r="M192" s="1257">
        <f>IF(MONTH(DataRevRea)=7,'Rede Básica + Ajuste'!K192,IF(G192&lt;$Q$69,(SUMIFS($G$18:$G$60,$B$18:$B$60,$D$181,$D$18:$D$60,"Fora Ponta")),(SUMIFS($H$18:$H$60,$B$18:$B$60,$D$181,$D$18:$D$60,"Fora Ponta"))))</f>
        <v>0</v>
      </c>
      <c r="N192" s="1258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22" t="s">
        <v>1168</v>
      </c>
      <c r="K194" s="1823"/>
      <c r="L194" s="1824" t="s">
        <v>1169</v>
      </c>
      <c r="M194" s="1824"/>
      <c r="N194" s="278"/>
    </row>
    <row r="195" spans="3:14" ht="15.75">
      <c r="C195" s="1825" t="s">
        <v>1151</v>
      </c>
      <c r="D195" s="1826"/>
      <c r="F195" s="270"/>
      <c r="G195" s="1245" t="s">
        <v>646</v>
      </c>
      <c r="H195" s="1246" t="s">
        <v>1170</v>
      </c>
      <c r="I195" s="1246" t="s">
        <v>1171</v>
      </c>
      <c r="J195" s="1247" t="s">
        <v>1172</v>
      </c>
      <c r="K195" s="1247" t="s">
        <v>1173</v>
      </c>
      <c r="L195" s="1247" t="s">
        <v>1172</v>
      </c>
      <c r="M195" s="1247" t="s">
        <v>1173</v>
      </c>
      <c r="N195" s="277" t="s">
        <v>1174</v>
      </c>
    </row>
    <row r="196" spans="3:14" ht="15.75">
      <c r="C196" s="1242" t="s">
        <v>1175</v>
      </c>
      <c r="D196" s="1259">
        <f>IF(D22="Ponta",B22,0)</f>
        <v>0</v>
      </c>
      <c r="E196" s="18"/>
      <c r="F196" s="270"/>
      <c r="G196" s="1249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0">
        <f>SUMIFS($E$18:$E$60,$B$18:$B$60,$D$196,$D$18:$D$60,"Ponta")</f>
        <v>0</v>
      </c>
      <c r="K196" s="1250">
        <f>SUMIFS($E$18:$E$60,$B$18:$B$60,$D$196,$D$18:$D$60,"Fora Ponta")</f>
        <v>0</v>
      </c>
      <c r="L196" s="1250">
        <f>IF(MONTH(DataRevRea)=7,'Rede Básica + Ajuste'!J196,IF(G196&lt;$Q$69,(SUMIFS($E$18:$E$60,$B$18:$B$60,$D$196,$D$18:$D$60,"Ponta")),(SUMIFS($F$18:$F$60,$B$18:$B$60,$D$196,$D$18:$D$60,"Ponta"))))</f>
        <v>0</v>
      </c>
      <c r="M196" s="1250">
        <f>IF(MONTH(DataRevRea)=7,'Rede Básica + Ajuste'!K196,IF(G196&lt;$Q$69,(SUMIFS($E$18:$E$60,$B$18:$B$60,$D$196,$D$18:$D$60,"Fora Ponta")),(SUMIFS($F$18:$F$60,$B$18:$B$60,$D$196,$D$18:$D$60,"Fora Ponta"))))</f>
        <v>0</v>
      </c>
      <c r="N196" s="1251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2" t="s">
        <v>1176</v>
      </c>
      <c r="E198" s="1253" t="s">
        <v>1177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4" t="str">
        <f>C184</f>
        <v>Cobertura 2021</v>
      </c>
      <c r="D199" s="1255">
        <f>SUMPRODUCT(H196:H207,J196:J207)</f>
        <v>0</v>
      </c>
      <c r="E199" s="1255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4" t="s">
        <v>1178</v>
      </c>
      <c r="D200" s="1255">
        <f>SUMPRODUCT(H196:H207,L196:L207)</f>
        <v>0</v>
      </c>
      <c r="E200" s="1255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6">
        <f t="shared" si="41"/>
        <v>44774</v>
      </c>
      <c r="H207" s="1257">
        <f>SUMIFS($Y$18:$Y$60,$B$18:$B$60,$D$196,$D$18:$D$60,"Ponta")</f>
        <v>0</v>
      </c>
      <c r="I207" s="1257">
        <f>SUMIFS($Y$18:$Y$60,$B$18:$B$60,$D$196,$D$18:$D$60,"Fora Ponta")</f>
        <v>0</v>
      </c>
      <c r="J207" s="1257">
        <f t="shared" si="42"/>
        <v>0</v>
      </c>
      <c r="K207" s="1257">
        <f t="shared" si="43"/>
        <v>0</v>
      </c>
      <c r="L207" s="1257">
        <f>IF(MONTH(DataRevRea)=7,'Rede Básica + Ajuste'!J207,IF(G207&lt;$Q$69,(SUMIFS($E$18:$E$60,$B$18:$B$60,$D$196,$D$18:$D$60,"Ponta")),(SUMIFS($F$18:$F$60,$B$18:$B$60,$D$196,$D$18:$D$60,"Ponta"))))</f>
        <v>0</v>
      </c>
      <c r="M207" s="1257">
        <f>IF(MONTH(DataRevRea)=7,'Rede Básica + Ajuste'!K207,IF(G207&lt;$Q$69,(SUMIFS($E$18:$E$60,$B$18:$B$60,$D$196,$D$18:$D$60,"Fora Ponta")),(SUMIFS($F$18:$F$60,$B$18:$B$60,$D$196,$D$18:$D$60,"Fora Ponta"))))</f>
        <v>0</v>
      </c>
      <c r="N207" s="1258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22" t="s">
        <v>1168</v>
      </c>
      <c r="K209" s="1823"/>
      <c r="L209" s="1824" t="s">
        <v>1169</v>
      </c>
      <c r="M209" s="1824"/>
      <c r="N209" s="278"/>
    </row>
    <row r="210" spans="3:14" ht="15.75">
      <c r="C210" s="1825" t="s">
        <v>1179</v>
      </c>
      <c r="D210" s="1826"/>
      <c r="F210" s="270"/>
      <c r="G210" s="1245" t="s">
        <v>646</v>
      </c>
      <c r="H210" s="1246" t="s">
        <v>1170</v>
      </c>
      <c r="I210" s="1246" t="s">
        <v>1171</v>
      </c>
      <c r="J210" s="1247" t="s">
        <v>1172</v>
      </c>
      <c r="K210" s="1247" t="s">
        <v>1173</v>
      </c>
      <c r="L210" s="1247" t="s">
        <v>1172</v>
      </c>
      <c r="M210" s="1247" t="s">
        <v>1173</v>
      </c>
      <c r="N210" s="277" t="s">
        <v>1174</v>
      </c>
    </row>
    <row r="211" spans="3:14" ht="15.75">
      <c r="C211" s="1242" t="s">
        <v>1175</v>
      </c>
      <c r="D211" s="1259">
        <f>IF(D22="Ponta",B22,0)</f>
        <v>0</v>
      </c>
      <c r="E211" s="18"/>
      <c r="F211" s="270"/>
      <c r="G211" s="1249">
        <f>G196</f>
        <v>44440</v>
      </c>
      <c r="H211" s="272">
        <f>H196</f>
        <v>0</v>
      </c>
      <c r="I211" s="272">
        <f>I196</f>
        <v>0</v>
      </c>
      <c r="J211" s="1250">
        <f>SUMIFS($G$18:$G$60,$B$18:$B$60,$D$211,$D$18:$D$60,"Ponta")</f>
        <v>0</v>
      </c>
      <c r="K211" s="1250">
        <f>SUMIFS($G$18:$G$60,$B$18:$B$60,$D$211,$D$18:$D$60,"Fora Ponta")</f>
        <v>0</v>
      </c>
      <c r="L211" s="1250">
        <f>IF(MONTH(DataRevRea)=7,'Rede Básica + Ajuste'!J211,IF(G211&lt;$Q$69,(SUMIFS($G$18:$G$60,$B$18:$B$60,$D$211,$D$18:$D$60,"Ponta")),(SUMIFS($H$18:$H$60,$B$18:$B$60,$D$211,$D$18:$D$60,"Ponta"))))</f>
        <v>0</v>
      </c>
      <c r="M211" s="1250">
        <f>IF(MONTH(DataRevRea)=7,'Rede Básica + Ajuste'!K211,IF(G211&lt;$Q$69,(SUMIFS($G$18:$G$60,$B$18:$B$60,$D$211,$D$18:$D$60,"Fora Ponta")),(SUMIFS($H$18:$H$60,$B$18:$B$60,$D$211,$D$18:$D$60,"Fora Ponta"))))</f>
        <v>0</v>
      </c>
      <c r="N211" s="1251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2" t="s">
        <v>1176</v>
      </c>
      <c r="E213" s="1253" t="s">
        <v>1177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4" t="str">
        <f>C199</f>
        <v>Cobertura 2021</v>
      </c>
      <c r="D214" s="1255">
        <f>SUMPRODUCT(H211:H222,J211:J222)</f>
        <v>0</v>
      </c>
      <c r="E214" s="1255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4" t="s">
        <v>1178</v>
      </c>
      <c r="D215" s="1255">
        <f>SUMPRODUCT(H211:H222,L211:L222)</f>
        <v>0</v>
      </c>
      <c r="E215" s="1255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6">
        <f t="shared" si="45"/>
        <v>44774</v>
      </c>
      <c r="H222" s="1257">
        <f t="shared" si="45"/>
        <v>0</v>
      </c>
      <c r="I222" s="1257">
        <f t="shared" si="45"/>
        <v>0</v>
      </c>
      <c r="J222" s="1257">
        <f t="shared" si="46"/>
        <v>0</v>
      </c>
      <c r="K222" s="1257">
        <f t="shared" si="47"/>
        <v>0</v>
      </c>
      <c r="L222" s="1257">
        <f>IF(MONTH(DataRevRea)=7,'Rede Básica + Ajuste'!J222,IF(G222&lt;$Q$69,(SUMIFS($G$18:$G$60,$B$18:$B$60,$D$211,$D$18:$D$60,"Ponta")),(SUMIFS($H$18:$H$60,$B$18:$B$60,$D$211,$D$18:$D$60,"Ponta"))))</f>
        <v>0</v>
      </c>
      <c r="M222" s="1257">
        <f>IF(MONTH(DataRevRea)=7,'Rede Básica + Ajuste'!K222,IF(G222&lt;$Q$69,(SUMIFS($G$18:$G$60,$B$18:$B$60,$D$211,$D$18:$D$60,"Fora Ponta")),(SUMIFS($H$18:$H$60,$B$18:$B$60,$D$211,$D$18:$D$60,"Fora Ponta"))))</f>
        <v>0</v>
      </c>
      <c r="N222" s="1258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0" t="s">
        <v>638</v>
      </c>
      <c r="C1" s="1018"/>
      <c r="D1" s="931"/>
      <c r="E1" s="1226"/>
      <c r="F1" s="1226"/>
      <c r="G1" s="1128" t="s">
        <v>871</v>
      </c>
      <c r="H1" s="1129">
        <f ca="1">LnkTXTIRTEco</f>
        <v>7.1900000000000006E-2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1180</v>
      </c>
      <c r="AL1" s="183">
        <v>7947</v>
      </c>
      <c r="AM1" s="182" t="s">
        <v>1181</v>
      </c>
    </row>
    <row r="2" spans="2:39" ht="15" thickBot="1">
      <c r="B2" s="136" t="str">
        <f>CAPA!C9</f>
        <v>Certrel</v>
      </c>
      <c r="C2" s="70"/>
      <c r="D2" s="70"/>
      <c r="G2" s="120" t="s">
        <v>875</v>
      </c>
      <c r="H2" s="121">
        <f ca="1">LnkTXTIRTTotal</f>
        <v>-3.0800000000000001E-2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1182</v>
      </c>
      <c r="AL2" s="185">
        <v>7959</v>
      </c>
      <c r="AM2" s="186" t="s">
        <v>1183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1184</v>
      </c>
      <c r="AL4" s="169">
        <v>7972</v>
      </c>
      <c r="AM4" s="170" t="s">
        <v>1185</v>
      </c>
    </row>
    <row r="5" spans="2:39" ht="29.25" thickBot="1">
      <c r="B5" s="1230" t="s">
        <v>1186</v>
      </c>
      <c r="C5" s="1230" t="s">
        <v>1187</v>
      </c>
      <c r="D5" s="1230" t="s">
        <v>1188</v>
      </c>
      <c r="E5" s="1230" t="s">
        <v>1189</v>
      </c>
      <c r="F5" s="1230" t="s">
        <v>1190</v>
      </c>
      <c r="G5" s="1230" t="s">
        <v>1191</v>
      </c>
      <c r="J5" s="156" t="s">
        <v>1192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1193</v>
      </c>
      <c r="AL5" s="169">
        <v>7973</v>
      </c>
      <c r="AM5" s="170" t="s">
        <v>1194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770</v>
      </c>
      <c r="K6" s="167">
        <v>3</v>
      </c>
      <c r="AK6" s="168" t="s">
        <v>1195</v>
      </c>
      <c r="AL6" s="169">
        <v>7974</v>
      </c>
      <c r="AM6" s="170" t="s">
        <v>1196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1197</v>
      </c>
      <c r="AL7" s="169">
        <v>7977</v>
      </c>
      <c r="AM7" s="170" t="s">
        <v>1198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1199</v>
      </c>
      <c r="AL8" s="169">
        <v>7978</v>
      </c>
      <c r="AM8" s="170" t="s">
        <v>1200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1201</v>
      </c>
      <c r="AL9" s="169">
        <v>7979</v>
      </c>
      <c r="AM9" s="170" t="s">
        <v>1202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1203</v>
      </c>
      <c r="AL10" s="169">
        <v>8047</v>
      </c>
      <c r="AM10" s="170" t="s">
        <v>1204</v>
      </c>
    </row>
    <row r="11" spans="2:39" ht="15" thickBot="1">
      <c r="B11" s="1260" t="s">
        <v>758</v>
      </c>
      <c r="C11" s="1261">
        <f>SUM(C6:C10)</f>
        <v>0</v>
      </c>
      <c r="D11" s="1261">
        <f>SUM(D6:D10)</f>
        <v>0</v>
      </c>
      <c r="E11" s="1262">
        <f>SUM(E6:E10)</f>
        <v>0</v>
      </c>
      <c r="F11" s="1263"/>
      <c r="G11" s="1264">
        <f>SUM(G6:G10)</f>
        <v>0</v>
      </c>
      <c r="AK11" s="168" t="s">
        <v>1205</v>
      </c>
      <c r="AL11" s="169">
        <v>8049</v>
      </c>
      <c r="AM11" s="170" t="s">
        <v>1206</v>
      </c>
    </row>
    <row r="12" spans="2:39" ht="15" thickBot="1">
      <c r="B12" s="164"/>
      <c r="C12" s="163"/>
      <c r="D12" s="1265" t="s">
        <v>1207</v>
      </c>
      <c r="E12" s="1265"/>
      <c r="F12" s="1266">
        <f>IF(MONTH(CAPA!C15)&gt;6,DATE(YEAR(CAPA!C15),6,1),DATE(YEAR(CAPA!C15)-1,6,1))</f>
        <v>44713</v>
      </c>
      <c r="G12" s="187"/>
      <c r="AK12" s="168" t="s">
        <v>1208</v>
      </c>
      <c r="AL12" s="169">
        <v>8050</v>
      </c>
      <c r="AM12" s="170" t="s">
        <v>1209</v>
      </c>
    </row>
    <row r="13" spans="2:39" ht="15" thickBot="1">
      <c r="B13" s="180"/>
      <c r="C13" s="180"/>
      <c r="D13" s="180"/>
      <c r="F13" s="181" t="s">
        <v>1210</v>
      </c>
      <c r="AK13" s="168"/>
      <c r="AL13" s="169"/>
      <c r="AM13" s="170"/>
    </row>
    <row r="14" spans="2:39" ht="15" thickBot="1">
      <c r="B14" s="180"/>
      <c r="C14" s="180"/>
      <c r="AK14" s="168" t="s">
        <v>1211</v>
      </c>
      <c r="AL14" s="169">
        <v>8051</v>
      </c>
      <c r="AM14" s="170" t="s">
        <v>1212</v>
      </c>
    </row>
    <row r="15" spans="2:39" ht="29.25" thickBot="1">
      <c r="B15" s="1230" t="s">
        <v>1186</v>
      </c>
      <c r="C15" s="1230" t="s">
        <v>1187</v>
      </c>
      <c r="D15" s="1230" t="s">
        <v>1213</v>
      </c>
      <c r="E15" s="1230" t="s">
        <v>1214</v>
      </c>
      <c r="F15" s="149"/>
      <c r="AK15" s="168" t="s">
        <v>1215</v>
      </c>
      <c r="AL15" s="169">
        <v>8057</v>
      </c>
      <c r="AM15" s="170" t="s">
        <v>1216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1217</v>
      </c>
      <c r="AL16" s="169">
        <v>8058</v>
      </c>
      <c r="AM16" s="170" t="s">
        <v>1218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1219</v>
      </c>
      <c r="AL17" s="169">
        <v>8220</v>
      </c>
      <c r="AM17" s="170" t="s">
        <v>1220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1221</v>
      </c>
      <c r="AL18" s="169">
        <v>8221</v>
      </c>
      <c r="AM18" s="170" t="s">
        <v>1222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1223</v>
      </c>
      <c r="AL19" s="169">
        <v>8231</v>
      </c>
      <c r="AM19" s="170" t="s">
        <v>1224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1225</v>
      </c>
      <c r="AL20" s="169">
        <v>8261</v>
      </c>
      <c r="AM20" s="170" t="s">
        <v>1226</v>
      </c>
    </row>
    <row r="21" spans="2:39">
      <c r="B21" s="1260" t="s">
        <v>758</v>
      </c>
      <c r="C21" s="1267">
        <f>SUM(C16:C20)</f>
        <v>0</v>
      </c>
      <c r="D21" s="1267">
        <f>SUM(D16:D20)</f>
        <v>0</v>
      </c>
      <c r="E21" s="1267">
        <f>SUM(E16:E20)</f>
        <v>0</v>
      </c>
      <c r="F21" s="149"/>
      <c r="AK21" s="171" t="s">
        <v>1227</v>
      </c>
      <c r="AL21" s="172">
        <v>8263</v>
      </c>
      <c r="AM21" s="173" t="s">
        <v>1228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0" t="s">
        <v>950</v>
      </c>
      <c r="C1" s="1018"/>
      <c r="D1" s="1268"/>
      <c r="E1" s="1269"/>
      <c r="F1" s="1269"/>
      <c r="G1" s="1128" t="s">
        <v>871</v>
      </c>
      <c r="H1" s="1228">
        <f ca="1">LnkTXTIRTEco</f>
        <v>7.1900000000000006E-2</v>
      </c>
    </row>
    <row r="2" spans="1:16" ht="46.5" customHeight="1">
      <c r="B2" s="136" t="str">
        <f>CAPA!C9</f>
        <v>Certrel</v>
      </c>
      <c r="C2" s="70"/>
      <c r="D2" s="70"/>
      <c r="G2" s="120" t="s">
        <v>875</v>
      </c>
      <c r="H2" s="146">
        <f ca="1">LnkTXTIRTTotal</f>
        <v>-3.0800000000000001E-2</v>
      </c>
      <c r="I2" s="90" t="s">
        <v>1229</v>
      </c>
    </row>
    <row r="3" spans="1:16">
      <c r="B3" s="1270" t="s">
        <v>1230</v>
      </c>
      <c r="C3" s="1271">
        <f>SUMPRODUCT(J6:J44,H6:H44)</f>
        <v>4882651.6637400007</v>
      </c>
      <c r="D3" s="73"/>
      <c r="E3" s="1270" t="s">
        <v>1121</v>
      </c>
      <c r="F3" s="68" t="s">
        <v>1231</v>
      </c>
      <c r="G3" s="1272">
        <f>LnkTXTDescTusdAnte</f>
        <v>0</v>
      </c>
      <c r="H3" s="90"/>
      <c r="I3" s="1273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1232</v>
      </c>
      <c r="B5" s="1274" t="s">
        <v>27</v>
      </c>
      <c r="C5" s="1274" t="s">
        <v>21</v>
      </c>
      <c r="D5" s="1274" t="s">
        <v>22</v>
      </c>
      <c r="E5" s="1274" t="s">
        <v>78</v>
      </c>
      <c r="F5" s="1274" t="s">
        <v>815</v>
      </c>
      <c r="G5" s="1274" t="s">
        <v>1233</v>
      </c>
      <c r="H5" s="1274" t="s">
        <v>60</v>
      </c>
      <c r="I5" s="1274" t="s">
        <v>1122</v>
      </c>
      <c r="J5" s="1274" t="s">
        <v>1123</v>
      </c>
      <c r="L5" s="68"/>
      <c r="M5" s="69"/>
    </row>
    <row r="6" spans="1:16">
      <c r="A6" s="68">
        <v>5697</v>
      </c>
      <c r="B6" s="147" t="s">
        <v>2199</v>
      </c>
      <c r="C6" s="147" t="s">
        <v>2034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145305</v>
      </c>
      <c r="H6" s="147">
        <f>IF(B6="","",IF(LEFT(D6,7)="Demanda",G6,G6/1000))</f>
        <v>145305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M6" s="69"/>
      <c r="N6" s="69"/>
    </row>
    <row r="7" spans="1:16">
      <c r="A7" s="68">
        <v>5697</v>
      </c>
      <c r="B7" s="147" t="s">
        <v>2199</v>
      </c>
      <c r="C7" s="147" t="s">
        <v>2034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93710</v>
      </c>
      <c r="H7" s="147">
        <f t="shared" ref="H7:H30" si="3">IF(B7="","",IF(LEFT(D7,7)="Demanda",G7,G7/1000))</f>
        <v>93710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</row>
    <row r="8" spans="1:16">
      <c r="A8" s="68">
        <v>5697</v>
      </c>
      <c r="B8" s="147" t="s">
        <v>2199</v>
      </c>
      <c r="C8" s="147" t="s">
        <v>2034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46610698</v>
      </c>
      <c r="H8" s="147">
        <f t="shared" si="3"/>
        <v>46610.697999999997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2199</v>
      </c>
      <c r="C9" s="147" t="s">
        <v>2034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3366231</v>
      </c>
      <c r="H9" s="147">
        <f t="shared" si="3"/>
        <v>3366.2310000000002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20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1234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1235</v>
      </c>
      <c r="C36" s="287" t="s">
        <v>1236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891</v>
      </c>
      <c r="C37" s="287" t="s">
        <v>1236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1237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1237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="115" zoomScaleNormal="115" workbookViewId="0">
      <selection activeCell="C7" sqref="C7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0" t="s">
        <v>741</v>
      </c>
      <c r="C1" s="1225"/>
      <c r="D1" s="1225"/>
      <c r="E1" s="1225"/>
      <c r="F1" s="931"/>
      <c r="G1" s="931"/>
      <c r="H1" s="1128" t="s">
        <v>871</v>
      </c>
      <c r="I1" s="1129">
        <f ca="1">LnkTXTIRTEco</f>
        <v>7.1900000000000006E-2</v>
      </c>
      <c r="J1" s="193"/>
      <c r="K1" s="194"/>
    </row>
    <row r="2" spans="1:15" s="195" customFormat="1" ht="27" customHeight="1">
      <c r="B2" s="136" t="str">
        <f>CAPA!C9</f>
        <v>Certrel</v>
      </c>
      <c r="C2" s="70"/>
      <c r="D2" s="70"/>
      <c r="E2" s="70"/>
      <c r="F2" s="70"/>
      <c r="G2" s="70"/>
      <c r="H2" s="120" t="s">
        <v>875</v>
      </c>
      <c r="I2" s="121">
        <f ca="1">LnkTXTIRTTotal</f>
        <v>-3.0800000000000001E-2</v>
      </c>
    </row>
    <row r="3" spans="1:15">
      <c r="B3" s="934" t="s">
        <v>1238</v>
      </c>
      <c r="C3" s="784"/>
      <c r="E3" s="784" t="str">
        <f>"Encargos "&amp;YEAR(CAPA!C14)</f>
        <v>Encargos 2021</v>
      </c>
      <c r="F3" s="784"/>
      <c r="H3" s="784"/>
      <c r="I3" s="784"/>
      <c r="J3" s="784"/>
      <c r="K3" s="784"/>
      <c r="L3" s="784"/>
      <c r="M3" s="784"/>
      <c r="N3" s="784"/>
      <c r="O3" s="784"/>
    </row>
    <row r="4" spans="1:15">
      <c r="E4" s="1230" t="s">
        <v>72</v>
      </c>
      <c r="F4" s="1230" t="s">
        <v>1239</v>
      </c>
      <c r="H4" s="72"/>
      <c r="I4" s="72"/>
    </row>
    <row r="5" spans="1:15">
      <c r="B5" s="1230" t="s">
        <v>72</v>
      </c>
      <c r="C5" s="1230" t="s">
        <v>37</v>
      </c>
      <c r="E5" s="68" t="s">
        <v>40</v>
      </c>
      <c r="F5" s="115">
        <f>CAPA!D42</f>
        <v>55625.064014916803</v>
      </c>
      <c r="H5" s="1828" t="s">
        <v>1240</v>
      </c>
      <c r="I5" s="1828"/>
      <c r="K5" s="1828" t="s">
        <v>1241</v>
      </c>
      <c r="L5" s="1828"/>
      <c r="N5" s="1828" t="s">
        <v>1242</v>
      </c>
      <c r="O5" s="1828"/>
    </row>
    <row r="6" spans="1:15">
      <c r="B6" s="68" t="s">
        <v>40</v>
      </c>
      <c r="C6" s="80">
        <f ca="1">L14</f>
        <v>60318.578824742086</v>
      </c>
      <c r="E6" s="68" t="s">
        <v>41</v>
      </c>
      <c r="F6" s="115">
        <f>CAPA!D43</f>
        <v>2415578.8911799998</v>
      </c>
      <c r="H6" s="199" t="s">
        <v>1243</v>
      </c>
      <c r="I6" s="200">
        <f ca="1">FornecimentoE+LivreE-Calc_Mercado!C16</f>
        <v>44486.69</v>
      </c>
      <c r="K6" s="505" t="s">
        <v>743</v>
      </c>
      <c r="L6" s="411">
        <f ca="1">LnkTXTER</f>
        <v>49976.929000000004</v>
      </c>
      <c r="N6" s="201" t="s">
        <v>1244</v>
      </c>
      <c r="O6" s="395">
        <v>1E-14</v>
      </c>
    </row>
    <row r="7" spans="1:15" ht="13.5" customHeight="1">
      <c r="B7" s="68" t="s">
        <v>41</v>
      </c>
      <c r="C7" s="80">
        <f ca="1">I22</f>
        <v>3547574.1107399999</v>
      </c>
      <c r="D7" s="196"/>
      <c r="E7" s="68" t="s">
        <v>112</v>
      </c>
      <c r="F7" s="115">
        <f>CAPA!D44</f>
        <v>0</v>
      </c>
      <c r="H7" s="1275" t="s">
        <v>1245</v>
      </c>
      <c r="I7" s="1276">
        <v>14.13</v>
      </c>
      <c r="K7" s="505" t="s">
        <v>1086</v>
      </c>
      <c r="L7" s="411">
        <f ca="1">Energia!M7</f>
        <v>0</v>
      </c>
      <c r="N7" s="201" t="s">
        <v>1246</v>
      </c>
      <c r="O7" s="202">
        <f ca="1">SUM(C12+C6+C9+C10+C8)</f>
        <v>688915.50852474221</v>
      </c>
    </row>
    <row r="8" spans="1:15">
      <c r="B8" s="68" t="s">
        <v>112</v>
      </c>
      <c r="C8" s="80">
        <v>0</v>
      </c>
      <c r="D8" s="196"/>
      <c r="E8" s="68" t="s">
        <v>766</v>
      </c>
      <c r="F8" s="115">
        <f>CAPA!D45</f>
        <v>0</v>
      </c>
      <c r="K8" s="505" t="s">
        <v>1089</v>
      </c>
      <c r="L8" s="411">
        <f ca="1">LnkTXTPerdas</f>
        <v>5157.3189999999995</v>
      </c>
      <c r="N8" s="201" t="s">
        <v>715</v>
      </c>
      <c r="O8" s="264">
        <f>Resultado!D24</f>
        <v>4882651.6637400007</v>
      </c>
    </row>
    <row r="9" spans="1:15">
      <c r="B9" s="68" t="s">
        <v>1247</v>
      </c>
      <c r="C9" s="808">
        <f>IFERROR(VLOOKUP("ESS/EER",TabEncargosBancoConsolidados[],2,FALSE),0)</f>
        <v>0</v>
      </c>
      <c r="D9" s="69"/>
      <c r="E9" s="68" t="s">
        <v>47</v>
      </c>
      <c r="F9" s="115">
        <f>CAPA!D46</f>
        <v>409178.82124000002</v>
      </c>
      <c r="H9" s="1828" t="s">
        <v>1248</v>
      </c>
      <c r="I9" s="1828"/>
      <c r="K9" s="505" t="s">
        <v>1249</v>
      </c>
      <c r="L9" s="411">
        <f ca="1">SUM(L6:L7,-L8)</f>
        <v>44819.61</v>
      </c>
      <c r="N9" s="201" t="s">
        <v>108</v>
      </c>
      <c r="O9" s="263">
        <f ca="1">Resultado!D33</f>
        <v>6177301.1752223326</v>
      </c>
    </row>
    <row r="10" spans="1:15">
      <c r="B10" s="68" t="s">
        <v>47</v>
      </c>
      <c r="C10" s="80">
        <f ca="1">IFERROR(Encargos!I7*I6,0)</f>
        <v>628596.9297000001</v>
      </c>
      <c r="D10" s="196"/>
      <c r="E10" s="68" t="s">
        <v>49</v>
      </c>
      <c r="F10" s="115">
        <f>CAPA!D48</f>
        <v>0</v>
      </c>
      <c r="H10" s="1277" t="s">
        <v>1250</v>
      </c>
      <c r="I10" s="1278">
        <f ca="1">FornecimentoE_A1+Calc_Mercado!C10+Calc_Mercado!C11+Calc_Mercado!C114+Calc_Mercado!C115</f>
        <v>0</v>
      </c>
      <c r="K10" s="505" t="s">
        <v>1251</v>
      </c>
      <c r="L10" s="411">
        <f ca="1">SUM(L6:L7)</f>
        <v>49976.929000000004</v>
      </c>
      <c r="N10" s="201" t="s">
        <v>1252</v>
      </c>
      <c r="O10" s="202">
        <f>Resultado!D39</f>
        <v>14343053.986877607</v>
      </c>
    </row>
    <row r="11" spans="1:15">
      <c r="B11" s="68" t="s">
        <v>1253</v>
      </c>
      <c r="C11" s="80">
        <v>1E-4</v>
      </c>
      <c r="D11" s="196"/>
      <c r="E11" s="784" t="s">
        <v>2033</v>
      </c>
      <c r="F11" s="1150">
        <f>CAPA!D47</f>
        <v>0</v>
      </c>
      <c r="H11" s="199" t="s">
        <v>1254</v>
      </c>
      <c r="I11" s="139">
        <f ca="1">Calc_Mercado!C12+Calc_Mercado!C13+Calc_Mercado!C14+Calc_Mercado!C116+Calc_Mercado!C117</f>
        <v>29902.844000000001</v>
      </c>
      <c r="K11" s="505" t="s">
        <v>1255</v>
      </c>
      <c r="L11" s="411">
        <f>BD!C32</f>
        <v>0.85299999999999998</v>
      </c>
      <c r="N11" s="201" t="s">
        <v>1256</v>
      </c>
      <c r="O11" s="203">
        <f ca="1">IF(O6=0,0,O6*(SUM(O7:O10)-Q7))</f>
        <v>2.6091922334364685E-7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4" t="str">
        <f>"Encargos "&amp;YEAR(CAPA!C14)-1</f>
        <v>Encargos 2020</v>
      </c>
      <c r="F12" s="784"/>
      <c r="H12" s="199" t="s">
        <v>1257</v>
      </c>
      <c r="I12" s="139">
        <f ca="1">FornecimentoE_BT-Calc_Mercado!C16+Calc_Mercado!C119+Calc_Mercado!C118</f>
        <v>14583.846000000001</v>
      </c>
      <c r="K12" s="505" t="s">
        <v>1258</v>
      </c>
      <c r="L12" s="45">
        <v>4.0000000000000001E-3</v>
      </c>
      <c r="N12" s="201" t="s">
        <v>1259</v>
      </c>
      <c r="O12" s="203">
        <f ca="1">Financeiros!D7</f>
        <v>-2840168.9854412354</v>
      </c>
    </row>
    <row r="13" spans="1:15">
      <c r="B13" s="1279" t="s">
        <v>767</v>
      </c>
      <c r="C13" s="1280">
        <f ca="1">SUM(C6:C12)</f>
        <v>4236489.6193647422</v>
      </c>
      <c r="D13" s="196"/>
      <c r="E13" s="1230" t="s">
        <v>72</v>
      </c>
      <c r="F13" s="1230" t="s">
        <v>1239</v>
      </c>
      <c r="H13" s="1281" t="s">
        <v>1260</v>
      </c>
      <c r="I13" s="1282">
        <v>23.38</v>
      </c>
      <c r="K13" s="1283" t="s">
        <v>1261</v>
      </c>
      <c r="L13" s="1284">
        <f ca="1">LnkTXTIParcelaBcomSub+Energia!F19</f>
        <v>14343053.986877607</v>
      </c>
      <c r="N13" s="1285" t="s">
        <v>1262</v>
      </c>
      <c r="O13" s="1286">
        <f ca="1">O12*O6+O11</f>
        <v>2.325175334892345E-7</v>
      </c>
    </row>
    <row r="14" spans="1:15">
      <c r="E14" s="68" t="s">
        <v>40</v>
      </c>
      <c r="F14" s="1287">
        <f>BD!C37</f>
        <v>54708.382025423212</v>
      </c>
      <c r="H14" s="257" t="s">
        <v>1263</v>
      </c>
      <c r="I14" s="815">
        <v>31.67</v>
      </c>
      <c r="K14" s="1288" t="s">
        <v>40</v>
      </c>
      <c r="L14" s="1289">
        <f ca="1">L12*1/L11*L9/L10*L13</f>
        <v>60318.578824742086</v>
      </c>
    </row>
    <row r="15" spans="1:15">
      <c r="E15" s="68" t="s">
        <v>41</v>
      </c>
      <c r="F15" s="80">
        <f>BD!C35</f>
        <v>2108077.3704000013</v>
      </c>
      <c r="H15" s="1290" t="s">
        <v>1264</v>
      </c>
      <c r="I15" s="1291">
        <v>37.700000000000003</v>
      </c>
      <c r="M15" s="393">
        <f>L12</f>
        <v>4.0000000000000001E-3</v>
      </c>
    </row>
    <row r="16" spans="1:15">
      <c r="E16" s="68" t="s">
        <v>112</v>
      </c>
      <c r="F16" s="80">
        <v>0</v>
      </c>
      <c r="H16" s="1184" t="s">
        <v>1265</v>
      </c>
      <c r="I16" s="1282">
        <v>55.4</v>
      </c>
      <c r="K16" s="1828" t="s">
        <v>766</v>
      </c>
      <c r="L16" s="1828"/>
      <c r="M16" s="140">
        <f>1/L11</f>
        <v>1.1723329425556859</v>
      </c>
    </row>
    <row r="17" spans="2:14">
      <c r="E17" s="68" t="s">
        <v>766</v>
      </c>
      <c r="F17" s="80">
        <v>0</v>
      </c>
      <c r="H17" s="68" t="s">
        <v>1266</v>
      </c>
      <c r="I17" s="815">
        <v>75.06</v>
      </c>
      <c r="K17" s="1277" t="s">
        <v>2051</v>
      </c>
      <c r="L17" s="1278">
        <f>IFERROR(VLOOKUP("EER",TabEncargosBancoConsolidados[],2,FALSE),0)</f>
        <v>0</v>
      </c>
      <c r="M17" s="68">
        <f ca="1">L9/L10</f>
        <v>0.89680600422647017</v>
      </c>
    </row>
    <row r="18" spans="2:14">
      <c r="C18" s="107"/>
      <c r="D18" s="107"/>
      <c r="E18" s="68" t="s">
        <v>47</v>
      </c>
      <c r="F18" s="80">
        <f>BD!C36</f>
        <v>293521.26583000016</v>
      </c>
      <c r="G18" s="107"/>
      <c r="H18" s="784" t="s">
        <v>1267</v>
      </c>
      <c r="I18" s="1291">
        <v>89.35</v>
      </c>
      <c r="K18" s="199" t="s">
        <v>2054</v>
      </c>
      <c r="L18" s="139">
        <f>C9-L17</f>
        <v>0</v>
      </c>
    </row>
    <row r="19" spans="2:14">
      <c r="C19" s="107"/>
      <c r="D19" s="107"/>
      <c r="E19" s="784" t="s">
        <v>49</v>
      </c>
      <c r="F19" s="1292">
        <v>0</v>
      </c>
      <c r="G19" s="107"/>
      <c r="H19" s="68" t="s">
        <v>1268</v>
      </c>
      <c r="I19" s="69">
        <f ca="1">IF(CAPA!C10="S/SE/CO",Encargos!I10*Encargos!I16+Encargos!I11*Encargos!I17+Encargos!I12*Encargos!I18,Encargos!I10*Encargos!I13+Encargos!I11*Encargos!I14+Encargos!I12*Encargos!I15)</f>
        <v>3547574.1107399999</v>
      </c>
      <c r="K19" s="1230" t="s">
        <v>767</v>
      </c>
      <c r="L19" s="1452">
        <f>SUM(L17:L18)</f>
        <v>0</v>
      </c>
    </row>
    <row r="20" spans="2:14">
      <c r="C20" s="107"/>
      <c r="D20" s="107"/>
      <c r="F20" s="80"/>
      <c r="G20" s="107"/>
      <c r="H20" s="1293" t="s">
        <v>1269</v>
      </c>
      <c r="I20" s="1294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2052</v>
      </c>
      <c r="I21" s="69">
        <f>IFERROR(VLOOKUP("CDE Eletrobras",TabEncargosBancoConsolidados[],2,FALSE),0)</f>
        <v>0</v>
      </c>
    </row>
    <row r="22" spans="2:14">
      <c r="C22" s="107"/>
      <c r="D22" s="107"/>
      <c r="F22" s="80"/>
      <c r="G22" s="107"/>
      <c r="H22" s="1230" t="s">
        <v>2055</v>
      </c>
      <c r="I22" s="1452">
        <f ca="1">I19+I20+I21</f>
        <v>3547574.1107399999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4" t="s">
        <v>1270</v>
      </c>
      <c r="C27" s="784"/>
      <c r="D27" s="784"/>
      <c r="E27" s="784"/>
      <c r="F27" s="784"/>
      <c r="G27" s="784"/>
      <c r="J27" s="784"/>
      <c r="K27" s="784"/>
      <c r="L27" s="784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1271</v>
      </c>
      <c r="E29" s="196"/>
      <c r="F29" s="196"/>
      <c r="G29" s="196"/>
      <c r="L29" s="191"/>
      <c r="M29" s="192"/>
    </row>
    <row r="30" spans="2:14" ht="16.5" customHeight="1">
      <c r="C30" s="1230" t="s">
        <v>2079</v>
      </c>
      <c r="D30" s="1230" t="s">
        <v>46</v>
      </c>
      <c r="E30" s="1230" t="s">
        <v>40</v>
      </c>
      <c r="F30" s="1230" t="s">
        <v>41</v>
      </c>
      <c r="G30" s="1230" t="s">
        <v>47</v>
      </c>
      <c r="H30" s="1458" t="s">
        <v>2080</v>
      </c>
      <c r="I30" s="1458" t="s">
        <v>2088</v>
      </c>
      <c r="J30" s="1230" t="s">
        <v>1272</v>
      </c>
      <c r="L30" s="1827" t="s">
        <v>1273</v>
      </c>
      <c r="M30" s="1827"/>
      <c r="N30" s="268"/>
    </row>
    <row r="31" spans="2:14">
      <c r="B31" s="267">
        <f>Indexador!B68</f>
        <v>44440</v>
      </c>
      <c r="C31" s="1141">
        <f ca="1">IFERROR(IF(CAPA!$C$113="Não",C47-C62,IF(Indexador!$B68&lt;CAPA!$C$114,0,C47-C62)),0)</f>
        <v>0</v>
      </c>
      <c r="D31" s="1141">
        <f ca="1">IF(CAPA!$C$113="Não",D47-D62,IF(Indexador!$B68&lt;CAPA!$C$114,0,D47-D62))</f>
        <v>0</v>
      </c>
      <c r="E31" s="1141">
        <f ca="1">IF(CAPA!$C$113="Não",E47-E62,IF(Indexador!$B68&lt;CAPA!$C$114,0,E47-E62))</f>
        <v>102.3020375746346</v>
      </c>
      <c r="F31" s="1141">
        <f ca="1">IF(CAPA!$C$113="Não",F47-F62,IF(Indexador!$B68&lt;CAPA!$C$114,0,F47-F62))</f>
        <v>-1649.7791490131058</v>
      </c>
      <c r="G31" s="1141">
        <f ca="1">IF(CAPA!$C$113="Não",G47-G62,IF(Indexador!$B68&lt;CAPA!$C$114,0,G47-G62))</f>
        <v>-442.48372175878467</v>
      </c>
      <c r="H31" s="1141">
        <f ca="1">IF(CAPA!$C$113="Não",H47-H62,IF(Indexador!$B68&lt;CAPA!$C$114,0,H47-H62))</f>
        <v>0</v>
      </c>
      <c r="I31" s="1141">
        <f ca="1">IF(CAPA!$C$113="Não",I47-I62,IF(Indexador!$B68&lt;CAPA!$C$114,0,I47-I62))</f>
        <v>0</v>
      </c>
      <c r="J31" s="1141">
        <f ca="1">IF(CAPA!$C$113="Não",J47-J62,IF(Indexador!$B68&lt;CAPA!$C$114,0,J47-J62))</f>
        <v>-1989.9608331972559</v>
      </c>
      <c r="L31" s="68" t="s">
        <v>40</v>
      </c>
      <c r="M31" s="115">
        <f ca="1">Indexador!H80</f>
        <v>-631.8579431823332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-109.6197562548432</v>
      </c>
      <c r="F32" s="115">
        <f ca="1">IF(CAPA!$C$113="Não",F48-F63,IF(Indexador!$B69&lt;CAPA!$C$114,0,F48-F63))</f>
        <v>-5705.1948353284679</v>
      </c>
      <c r="G32" s="115">
        <f ca="1">IF(CAPA!$C$113="Não",G48-G63,IF(Indexador!$B69&lt;CAPA!$C$114,0,G48-G63))</f>
        <v>-997.0942061490714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-6811.9087977323506</v>
      </c>
      <c r="L32" s="68" t="s">
        <v>41</v>
      </c>
      <c r="M32" s="115">
        <f ca="1">Indexador!J80+Indexador!L80</f>
        <v>-29649.206855117383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33.658520670814141</v>
      </c>
      <c r="F33" s="115">
        <f ca="1">IF(CAPA!$C$113="Não",F49-F64,IF(Indexador!$B70&lt;CAPA!$C$114,0,F49-F64))</f>
        <v>-2247.6919657683757</v>
      </c>
      <c r="G33" s="115">
        <f ca="1">IF(CAPA!$C$113="Não",G49-G64,IF(Indexador!$B70&lt;CAPA!$C$114,0,G49-G64))</f>
        <v>-484.93325083364471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-2698.9666959311871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344.28672556400124</v>
      </c>
      <c r="F34" s="115">
        <f ca="1">IF(CAPA!$C$113="Não",F50-F65,IF(Indexador!$B71&lt;CAPA!$C$114,0,F50-F65))</f>
        <v>15057.95383242669</v>
      </c>
      <c r="G34" s="115">
        <f ca="1">IF(CAPA!$C$113="Não",G50-G65,IF(Indexador!$B71&lt;CAPA!$C$114,0,G50-G65))</f>
        <v>2544.0584953868129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17946.29905337753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11.414689626883046</v>
      </c>
      <c r="F35" s="115">
        <f ca="1">IF(CAPA!$C$113="Não",F51-F66,IF(Indexador!$B72&lt;CAPA!$C$114,0,F51-F66))</f>
        <v>2430.0791330161446</v>
      </c>
      <c r="G35" s="115">
        <f ca="1">IF(CAPA!$C$113="Não",G51-G66,IF(Indexador!$B72&lt;CAPA!$C$114,0,G51-G66))</f>
        <v>448.9149838191006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2890.408806462161</v>
      </c>
      <c r="L35" s="68" t="s">
        <v>47</v>
      </c>
      <c r="M35" s="115">
        <f ca="1">Indexador!N80</f>
        <v>-5292.8430167260067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-343.09999432307814</v>
      </c>
      <c r="F36" s="115">
        <f ca="1">IF(CAPA!$C$113="Não",F52-F67,IF(Indexador!$B73&lt;CAPA!$C$114,0,F52-F67))</f>
        <v>-4017.389117576764</v>
      </c>
      <c r="G36" s="115">
        <f ca="1">IF(CAPA!$C$113="Não",G52-G67,IF(Indexador!$B73&lt;CAPA!$C$114,0,G52-G67))</f>
        <v>-411.65958577174752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-4772.1486976715678</v>
      </c>
      <c r="L36" s="68" t="s">
        <v>2079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-515.94526822485477</v>
      </c>
      <c r="F37" s="115">
        <f ca="1">IF(CAPA!$C$113="Não",F53-F68,IF(Indexador!$B74&lt;CAPA!$C$114,0,F53-F68))</f>
        <v>-24355.671165771375</v>
      </c>
      <c r="G37" s="115">
        <f ca="1">IF(CAPA!$C$113="Não",G53-G68,IF(Indexador!$B74&lt;CAPA!$C$114,0,G53-G68))</f>
        <v>-4194.6833238429681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-29066.299757839151</v>
      </c>
      <c r="L37" s="784" t="s">
        <v>48</v>
      </c>
      <c r="M37" s="1181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65.757721549528469</v>
      </c>
      <c r="F38" s="115">
        <f ca="1">IF(CAPA!$C$113="Não",F54-F69,IF(Indexador!$B75&lt;CAPA!$C$114,0,F54-F69))</f>
        <v>1545.7283727524919</v>
      </c>
      <c r="G38" s="115">
        <f ca="1">IF(CAPA!$C$113="Não",G54-G69,IF(Indexador!$B75&lt;CAPA!$C$114,0,G54-G69))</f>
        <v>203.70331708612503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1815.1894113881572</v>
      </c>
      <c r="L38" s="71" t="s">
        <v>758</v>
      </c>
      <c r="M38" s="269">
        <f ca="1">SUM(M31:M36)</f>
        <v>-35573.907815025726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57.21243801381388</v>
      </c>
      <c r="F39" s="115">
        <f ca="1">IF(CAPA!$C$113="Não",F55-F70,IF(Indexador!$B76&lt;CAPA!$C$114,0,F55-F70))</f>
        <v>-3364.151475878316</v>
      </c>
      <c r="G39" s="115">
        <f ca="1">IF(CAPA!$C$113="Não",G55-G70,IF(Indexador!$B76&lt;CAPA!$C$114,0,G55-G70))</f>
        <v>-754.060065691403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-4060.9991035558924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-283.01407419853695</v>
      </c>
      <c r="F40" s="115">
        <f ca="1">IF(CAPA!$C$113="Não",F56-F71,IF(Indexador!$B77&lt;CAPA!$C$114,0,F56-F71))</f>
        <v>-10964.815290584433</v>
      </c>
      <c r="G40" s="115">
        <f ca="1">IF(CAPA!$C$113="Não",G56-G71,IF(Indexador!$B77&lt;CAPA!$C$114,0,G56-G71))</f>
        <v>-1856.5809536248416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-13104.410318407783</v>
      </c>
      <c r="L40" s="1827" t="s">
        <v>2087</v>
      </c>
      <c r="M40" s="1827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4.9494125999372045</v>
      </c>
      <c r="F41" s="115">
        <f ca="1">IF(CAPA!$C$113="Não",F57-F72,IF(Indexador!$B78&lt;CAPA!$C$114,0,F57-F72))</f>
        <v>2128.1069057273853</v>
      </c>
      <c r="G41" s="115">
        <f ca="1">IF(CAPA!$C$113="Não",G57-G72,IF(Indexador!$B78&lt;CAPA!$C$114,0,G57-G72))</f>
        <v>386.96746666108083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2520.0237849884143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0">
        <f ca="1">IFERROR(IF(CAPA!$C$113="Não",C58-C73,IF(Indexador!$B79&lt;CAPA!$C$114,0,C58-C73)),0)</f>
        <v>0</v>
      </c>
      <c r="D42" s="1150">
        <f ca="1">IF(CAPA!$C$113="Não",D58-D73,IF(Indexador!$B79&lt;CAPA!$C$114,0,D58-D73))</f>
        <v>0</v>
      </c>
      <c r="E42" s="1150">
        <f ca="1">IF(CAPA!$C$113="Não",E58-E73,IF(Indexador!$B79&lt;CAPA!$C$114,0,E58-E73))</f>
        <v>4.9494125999372045</v>
      </c>
      <c r="F42" s="1150">
        <f ca="1">IF(CAPA!$C$113="Não",F58-F73,IF(Indexador!$B79&lt;CAPA!$C$114,0,F58-F73))</f>
        <v>2128.1069057273853</v>
      </c>
      <c r="G42" s="1150">
        <f ca="1">IF(CAPA!$C$113="Não",G58-G73,IF(Indexador!$B79&lt;CAPA!$C$114,0,G58-G73))</f>
        <v>386.96746666108083</v>
      </c>
      <c r="H42" s="1150">
        <f ca="1">IF(CAPA!$C$113="Não",H58-H73,IF(Indexador!$B79&lt;CAPA!$C$114,0,H58-H73))</f>
        <v>0</v>
      </c>
      <c r="I42" s="1150">
        <f ca="1">IF(CAPA!$C$113="Não",I58-I73,IF(Indexador!$B79&lt;CAPA!$C$114,0,I58-I73))</f>
        <v>0</v>
      </c>
      <c r="J42" s="1150">
        <f ca="1">IF(CAPA!$C$113="Não",J58-J73,IF(Indexador!$B79&lt;CAPA!$C$114,0,J58-J73))</f>
        <v>2520.0237849884143</v>
      </c>
      <c r="L42" s="784" t="str">
        <f>I30</f>
        <v>Crédito Pis Cofins</v>
      </c>
      <c r="M42" s="1181">
        <f ca="1">Indexador!R80</f>
        <v>0</v>
      </c>
      <c r="N42" s="80"/>
    </row>
    <row r="43" spans="2:14">
      <c r="L43" s="71" t="s">
        <v>767</v>
      </c>
      <c r="M43" s="269">
        <f ca="1">SUM(M41:M42)</f>
        <v>0</v>
      </c>
    </row>
    <row r="44" spans="2:14">
      <c r="K44" s="140"/>
    </row>
    <row r="45" spans="2:14">
      <c r="C45" s="196" t="s">
        <v>1239</v>
      </c>
      <c r="D45" s="196"/>
      <c r="E45" s="196"/>
      <c r="F45" s="196"/>
      <c r="K45" s="140"/>
    </row>
    <row r="46" spans="2:14" ht="28.5">
      <c r="C46" s="1230" t="s">
        <v>2079</v>
      </c>
      <c r="D46" s="1230" t="s">
        <v>46</v>
      </c>
      <c r="E46" s="1230" t="s">
        <v>40</v>
      </c>
      <c r="F46" s="1230" t="s">
        <v>41</v>
      </c>
      <c r="G46" s="1230" t="s">
        <v>47</v>
      </c>
      <c r="H46" s="1458" t="s">
        <v>2080</v>
      </c>
      <c r="I46" s="1458" t="s">
        <v>2084</v>
      </c>
      <c r="J46" s="1230" t="s">
        <v>1274</v>
      </c>
      <c r="K46" s="140"/>
    </row>
    <row r="47" spans="2:14">
      <c r="B47" s="267">
        <f>Indexador!B37</f>
        <v>44440</v>
      </c>
      <c r="C47" s="1445">
        <f>$F$11/12</f>
        <v>0</v>
      </c>
      <c r="D47" s="1295">
        <f>$F$8/12</f>
        <v>0</v>
      </c>
      <c r="E47" s="1141">
        <f t="shared" ref="E47:E58" si="0">$F$5/12</f>
        <v>4635.4220012430669</v>
      </c>
      <c r="F47" s="115">
        <f t="shared" ref="F47:F58" si="1">$F$6/12</f>
        <v>201298.24093166666</v>
      </c>
      <c r="G47" s="115">
        <f t="shared" ref="G47:G58" si="2">$F$9/12</f>
        <v>34098.235103333333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6">
        <f>SUM(C47:G47)</f>
        <v>240031.89803624307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4635.4220012430669</v>
      </c>
      <c r="F48" s="115">
        <f t="shared" si="1"/>
        <v>201298.24093166666</v>
      </c>
      <c r="G48" s="115">
        <f t="shared" si="2"/>
        <v>34098.235103333333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240031.89803624307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4635.4220012430669</v>
      </c>
      <c r="F49" s="115">
        <f t="shared" si="1"/>
        <v>201298.24093166666</v>
      </c>
      <c r="G49" s="115">
        <f t="shared" si="2"/>
        <v>34098.235103333333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240031.89803624307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4635.4220012430669</v>
      </c>
      <c r="F50" s="115">
        <f t="shared" si="1"/>
        <v>201298.24093166666</v>
      </c>
      <c r="G50" s="115">
        <f t="shared" si="2"/>
        <v>34098.235103333333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240031.89803624307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4635.4220012430669</v>
      </c>
      <c r="F51" s="115">
        <f t="shared" si="1"/>
        <v>201298.24093166666</v>
      </c>
      <c r="G51" s="115">
        <f t="shared" si="2"/>
        <v>34098.235103333333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240031.89803624307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4635.4220012430669</v>
      </c>
      <c r="F52" s="115">
        <f t="shared" si="1"/>
        <v>201298.24093166666</v>
      </c>
      <c r="G52" s="115">
        <f t="shared" si="2"/>
        <v>34098.235103333333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240031.89803624307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4635.4220012430669</v>
      </c>
      <c r="F53" s="115">
        <f t="shared" si="1"/>
        <v>201298.24093166666</v>
      </c>
      <c r="G53" s="115">
        <f t="shared" si="2"/>
        <v>34098.235103333333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240031.89803624307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4635.4220012430669</v>
      </c>
      <c r="F54" s="115">
        <f t="shared" si="1"/>
        <v>201298.24093166666</v>
      </c>
      <c r="G54" s="115">
        <f t="shared" si="2"/>
        <v>34098.235103333333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240031.89803624307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4635.4220012430669</v>
      </c>
      <c r="F55" s="115">
        <f t="shared" si="1"/>
        <v>201298.24093166666</v>
      </c>
      <c r="G55" s="115">
        <f t="shared" si="2"/>
        <v>34098.235103333333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240031.89803624307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4635.4220012430669</v>
      </c>
      <c r="F56" s="115">
        <f t="shared" si="1"/>
        <v>201298.24093166666</v>
      </c>
      <c r="G56" s="115">
        <f t="shared" si="2"/>
        <v>34098.235103333333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240031.89803624307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4635.4220012430669</v>
      </c>
      <c r="F57" s="115">
        <f t="shared" si="1"/>
        <v>201298.24093166666</v>
      </c>
      <c r="G57" s="115">
        <f t="shared" si="2"/>
        <v>34098.235103333333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240031.89803624307</v>
      </c>
    </row>
    <row r="58" spans="2:12">
      <c r="B58" s="267">
        <f>Indexador!B48</f>
        <v>44774</v>
      </c>
      <c r="C58" s="1150">
        <f t="shared" si="3"/>
        <v>0</v>
      </c>
      <c r="D58" s="1297">
        <f t="shared" si="4"/>
        <v>0</v>
      </c>
      <c r="E58" s="1150">
        <f t="shared" si="0"/>
        <v>4635.4220012430669</v>
      </c>
      <c r="F58" s="1150">
        <f t="shared" si="1"/>
        <v>201298.24093166666</v>
      </c>
      <c r="G58" s="1150">
        <f t="shared" si="2"/>
        <v>34098.235103333333</v>
      </c>
      <c r="H58" s="1150">
        <f>IFERROR((VLOOKUP("Parcela B",TabFinanCovid[],4,FALSE)/12),0)</f>
        <v>0</v>
      </c>
      <c r="I58" s="1150">
        <f>IFERROR(VLOOKUP("Créditos de Pis/Cofins",TabFinanNeutralidade[[#All],[Detalhe_Grupo_TARIFA]:[valor]],2,FALSE)/12,0)</f>
        <v>0</v>
      </c>
      <c r="J58" s="1298">
        <f t="shared" si="5"/>
        <v>240031.89803624307</v>
      </c>
    </row>
    <row r="60" spans="2:12">
      <c r="C60" s="68" t="s">
        <v>1275</v>
      </c>
      <c r="L60" s="196">
        <v>42491</v>
      </c>
    </row>
    <row r="61" spans="2:12" ht="28.5">
      <c r="C61" s="1446" t="s">
        <v>2079</v>
      </c>
      <c r="D61" s="1230" t="s">
        <v>46</v>
      </c>
      <c r="E61" s="1230" t="s">
        <v>40</v>
      </c>
      <c r="F61" s="1230" t="s">
        <v>41</v>
      </c>
      <c r="G61" s="1230" t="s">
        <v>47</v>
      </c>
      <c r="H61" s="1458" t="s">
        <v>2080</v>
      </c>
      <c r="I61" s="1458" t="s">
        <v>2082</v>
      </c>
      <c r="J61" s="1230" t="s">
        <v>1274</v>
      </c>
      <c r="L61" s="1230" t="s">
        <v>48</v>
      </c>
    </row>
    <row r="62" spans="2:12">
      <c r="B62" s="267">
        <f t="shared" ref="B62:B73" si="6">B47</f>
        <v>44440</v>
      </c>
      <c r="C62" s="1299">
        <f ca="1">Calc_Mercado!S63</f>
        <v>0</v>
      </c>
      <c r="D62" s="1299">
        <f ca="1">Calc_Mercado!F63</f>
        <v>0</v>
      </c>
      <c r="E62" s="1141">
        <f ca="1">Calc_Mercado!I63</f>
        <v>4533.1199636684323</v>
      </c>
      <c r="F62" s="1287">
        <f ca="1">Calc_Mercado!H63</f>
        <v>202948.02008067977</v>
      </c>
      <c r="G62" s="1287">
        <f ca="1">Calc_Mercado!G63</f>
        <v>34540.718825092117</v>
      </c>
      <c r="H62" s="1459">
        <f ca="1">IFERROR((VLOOKUP("Parcela B",TabFinanCovid[],4,FALSE)/VLOOKUP("Parcela B",TabFinanNeutralidade[],3,FALSE))*Calc_Mercado!T63,0)</f>
        <v>0</v>
      </c>
      <c r="I62" s="1459">
        <f ca="1">Calc_Mercado!U63</f>
        <v>0</v>
      </c>
      <c r="J62" s="1296">
        <f t="shared" ref="J62:J73" ca="1" si="7">SUM(C62:G62)</f>
        <v>242021.85886944033</v>
      </c>
      <c r="L62" s="1299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4745.0417574979101</v>
      </c>
      <c r="F63" s="80">
        <f ca="1">Calc_Mercado!H64</f>
        <v>207003.43576699513</v>
      </c>
      <c r="G63" s="80">
        <f ca="1">Calc_Mercado!G64</f>
        <v>35095.329309482404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246843.80683397542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4601.7634805722528</v>
      </c>
      <c r="F64" s="80">
        <f ca="1">Calc_Mercado!H65</f>
        <v>203545.93289743504</v>
      </c>
      <c r="G64" s="80">
        <f ca="1">Calc_Mercado!G65</f>
        <v>34583.168354166977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242730.86473217426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4291.1352756790657</v>
      </c>
      <c r="F65" s="80">
        <f ca="1">Calc_Mercado!H66</f>
        <v>186240.28709923997</v>
      </c>
      <c r="G65" s="80">
        <f ca="1">Calc_Mercado!G66</f>
        <v>31554.17660794652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222085.59898286554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4624.0073116161839</v>
      </c>
      <c r="F66" s="80">
        <f ca="1">Calc_Mercado!H67</f>
        <v>198868.16179865052</v>
      </c>
      <c r="G66" s="80">
        <f ca="1">Calc_Mercado!G67</f>
        <v>33649.320119514232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237141.48922978091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4978.5219955661451</v>
      </c>
      <c r="F67" s="80">
        <f ca="1">Calc_Mercado!H68</f>
        <v>205315.63004924342</v>
      </c>
      <c r="G67" s="80">
        <f ca="1">Calc_Mercado!G68</f>
        <v>34509.89468910508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244804.04673391464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5151.3672694679217</v>
      </c>
      <c r="F68" s="80">
        <f ca="1">Calc_Mercado!H69</f>
        <v>225653.91209743803</v>
      </c>
      <c r="G68" s="80">
        <f ca="1">Calc_Mercado!G69</f>
        <v>38292.918427176301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269098.19779408223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4569.6642796935384</v>
      </c>
      <c r="F69" s="80">
        <f ca="1">Calc_Mercado!H70</f>
        <v>199752.51255891417</v>
      </c>
      <c r="G69" s="80">
        <f ca="1">Calc_Mercado!G70</f>
        <v>33894.531786247207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238216.70862485492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4578.209563229253</v>
      </c>
      <c r="F70" s="80">
        <f ca="1">Calc_Mercado!H71</f>
        <v>204662.39240754498</v>
      </c>
      <c r="G70" s="80">
        <f ca="1">Calc_Mercado!G71</f>
        <v>34852.295169024736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244092.89713979897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4918.4360754416039</v>
      </c>
      <c r="F71" s="80">
        <f ca="1">Calc_Mercado!H72</f>
        <v>212263.05622225109</v>
      </c>
      <c r="G71" s="80">
        <f ca="1">Calc_Mercado!G72</f>
        <v>35954.816056958174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253136.30835465086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4630.4725886431297</v>
      </c>
      <c r="F72" s="80">
        <f ca="1">Calc_Mercado!H73</f>
        <v>199170.13402593927</v>
      </c>
      <c r="G72" s="80">
        <f ca="1">Calc_Mercado!G73</f>
        <v>33711.267636672252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237511.87425125466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0">
        <f ca="1">Calc_Mercado!S74</f>
        <v>0</v>
      </c>
      <c r="D73" s="1300">
        <f ca="1">Calc_Mercado!F74</f>
        <v>0</v>
      </c>
      <c r="E73" s="1150">
        <f ca="1">Calc_Mercado!I74</f>
        <v>4630.4725886431297</v>
      </c>
      <c r="F73" s="1292">
        <f ca="1">Calc_Mercado!H74</f>
        <v>199170.13402593927</v>
      </c>
      <c r="G73" s="1292">
        <f ca="1">Calc_Mercado!G74</f>
        <v>33711.267636672252</v>
      </c>
      <c r="H73" s="1292">
        <f ca="1">IFERROR((VLOOKUP("Parcela B",TabFinanCovid[],4,FALSE)/VLOOKUP("Parcela B",TabFinanNeutralidade[],3,FALSE))*Calc_Mercado!T74,0)</f>
        <v>0</v>
      </c>
      <c r="I73" s="1292">
        <f ca="1">Calc_Mercado!U74</f>
        <v>0</v>
      </c>
      <c r="J73" s="1298">
        <f t="shared" ca="1" si="7"/>
        <v>237511.87425125466</v>
      </c>
      <c r="L73" s="1300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opLeftCell="A2" zoomScale="88" zoomScaleNormal="88" workbookViewId="0">
      <selection activeCell="K18" sqref="K18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727</v>
      </c>
      <c r="E2" s="298" t="s">
        <v>728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729</v>
      </c>
    </row>
    <row r="5" spans="2:49" ht="15" customHeight="1">
      <c r="B5" s="299" t="s">
        <v>730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731</v>
      </c>
      <c r="K6" s="353" t="s">
        <v>732</v>
      </c>
      <c r="L6" s="303"/>
      <c r="S6" s="353" t="s">
        <v>732</v>
      </c>
      <c r="T6" s="353"/>
      <c r="U6" s="353"/>
      <c r="V6" s="353"/>
      <c r="AC6" s="23" t="str">
        <f>IF(LnkTXTSuprid2="!vazio!","","s")</f>
        <v/>
      </c>
      <c r="AD6" s="23">
        <f>SMALL(N41:N42,1)</f>
        <v>312.51970482695697</v>
      </c>
      <c r="AE6" s="23">
        <f>SMALL(Q41:Q42,1)</f>
        <v>382.1681097975013</v>
      </c>
    </row>
    <row r="7" spans="2:49" ht="18.75" customHeight="1">
      <c r="B7" s="299" t="s">
        <v>733</v>
      </c>
      <c r="K7" s="1049" t="s">
        <v>734</v>
      </c>
      <c r="L7" s="1049" t="s">
        <v>735</v>
      </c>
      <c r="S7" s="1838" t="s">
        <v>736</v>
      </c>
      <c r="T7" s="1838"/>
      <c r="U7" s="1838"/>
      <c r="V7" s="296" t="s">
        <v>737</v>
      </c>
      <c r="W7" s="296" t="s">
        <v>738</v>
      </c>
      <c r="X7" s="60" t="s">
        <v>739</v>
      </c>
    </row>
    <row r="8" spans="2:49" ht="15" customHeight="1">
      <c r="B8" s="301" t="s">
        <v>740</v>
      </c>
      <c r="K8" s="353" t="s">
        <v>741</v>
      </c>
      <c r="L8" s="20">
        <f ca="1">Resultado!E14</f>
        <v>4.7784235145943967E-2</v>
      </c>
      <c r="S8" s="47" t="s">
        <v>742</v>
      </c>
      <c r="T8" s="364">
        <f ca="1">U8/$U$15</f>
        <v>0.36559570587345352</v>
      </c>
      <c r="U8" s="56">
        <f>AU239</f>
        <v>14343053.986877607</v>
      </c>
      <c r="V8" s="61" t="s">
        <v>192</v>
      </c>
      <c r="W8" s="62">
        <f ca="1">T12</f>
        <v>0.24450729708640606</v>
      </c>
      <c r="X8" s="62">
        <f ca="1">W8/(1-$W$10)</f>
        <v>0.32363952178949168</v>
      </c>
    </row>
    <row r="9" spans="2:49" ht="15" customHeight="1">
      <c r="B9" s="301" t="s">
        <v>743</v>
      </c>
      <c r="K9" s="360" t="s">
        <v>715</v>
      </c>
      <c r="L9" s="361">
        <f ca="1">Resultado!E24</f>
        <v>3.1339994686459577E-3</v>
      </c>
      <c r="S9" s="47" t="s">
        <v>744</v>
      </c>
      <c r="T9" s="364">
        <f ca="1">U9/$U$15</f>
        <v>0.15745564268352594</v>
      </c>
      <c r="U9" s="56">
        <f ca="1">AU230</f>
        <v>6177301.1752223326</v>
      </c>
      <c r="V9" s="47" t="s">
        <v>745</v>
      </c>
      <c r="W9" s="57">
        <f ca="1">T13</f>
        <v>0</v>
      </c>
      <c r="X9" s="62">
        <f ca="1">W9/(1-$W$10)</f>
        <v>0</v>
      </c>
      <c r="AD9" s="413"/>
      <c r="AE9" s="413"/>
    </row>
    <row r="10" spans="2:49" ht="27.75" customHeight="1">
      <c r="B10" s="301" t="s">
        <v>746</v>
      </c>
      <c r="K10" s="353" t="s">
        <v>747</v>
      </c>
      <c r="L10" s="25">
        <f ca="1">Resultado!E33</f>
        <v>1.198552588645883E-2</v>
      </c>
      <c r="S10" s="47" t="s">
        <v>748</v>
      </c>
      <c r="T10" s="364">
        <f ca="1">U10/$U$15</f>
        <v>0.12445581555869314</v>
      </c>
      <c r="U10" s="56">
        <f>AU232</f>
        <v>4882651.6637400007</v>
      </c>
      <c r="V10" s="1050" t="s">
        <v>749</v>
      </c>
      <c r="W10" s="1051">
        <f ca="1">SUM(W8:W9)</f>
        <v>0.24450729708640606</v>
      </c>
      <c r="X10" s="1051">
        <f ca="1">SUM(X8:X9)</f>
        <v>0.32363952178949168</v>
      </c>
      <c r="AE10" s="413"/>
    </row>
    <row r="11" spans="2:49" ht="15" customHeight="1">
      <c r="B11" s="299" t="s">
        <v>744</v>
      </c>
      <c r="K11" s="353" t="s">
        <v>750</v>
      </c>
      <c r="L11" s="25">
        <f ca="1">Resultado!E39</f>
        <v>9.0004239975646737E-3</v>
      </c>
      <c r="S11" s="1052" t="s">
        <v>741</v>
      </c>
      <c r="T11" s="1053">
        <f ca="1">U11/$U$15</f>
        <v>0.10798553879792132</v>
      </c>
      <c r="U11" s="1054">
        <f ca="1">AU219</f>
        <v>4236489.6192647424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751</v>
      </c>
      <c r="K12" s="23" t="s">
        <v>722</v>
      </c>
      <c r="L12" s="19">
        <f ca="1">linktxttotfin</f>
        <v>-0.1027</v>
      </c>
      <c r="S12" s="47" t="s">
        <v>192</v>
      </c>
      <c r="T12" s="57">
        <f ca="1">Calc_Mercado!J8</f>
        <v>0.24450729708640606</v>
      </c>
      <c r="U12" s="56">
        <f ca="1">T12*U15</f>
        <v>9592512.4555750191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722</v>
      </c>
      <c r="K13" s="23" t="s">
        <v>752</v>
      </c>
      <c r="L13" s="19">
        <f ca="1">LnkTXTERFIN</f>
        <v>0.1168</v>
      </c>
      <c r="S13" s="47" t="s">
        <v>753</v>
      </c>
      <c r="T13" s="58">
        <f ca="1">Calc_Mercado!J9</f>
        <v>0</v>
      </c>
      <c r="U13" s="56">
        <f ca="1">T13*U15</f>
        <v>0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754</v>
      </c>
      <c r="K14" s="353" t="s">
        <v>755</v>
      </c>
      <c r="L14" s="361">
        <f>LnkTXTEfeito</f>
        <v>8.6014610421965454E-2</v>
      </c>
      <c r="S14" s="47" t="s">
        <v>756</v>
      </c>
      <c r="T14" s="364">
        <f ca="1">SUM(T12:T13)</f>
        <v>0.24450729708640606</v>
      </c>
      <c r="U14" s="56">
        <f ca="1">SUM(U12:U13)</f>
        <v>9592512.4555750191</v>
      </c>
      <c r="V14" s="56"/>
      <c r="AD14" s="23" t="s">
        <v>104</v>
      </c>
      <c r="AE14" s="23" t="s">
        <v>108</v>
      </c>
      <c r="AF14" s="23" t="s">
        <v>715</v>
      </c>
      <c r="AG14" s="23" t="s">
        <v>704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757</v>
      </c>
      <c r="S15" s="1050" t="s">
        <v>758</v>
      </c>
      <c r="T15" s="1055">
        <f ca="1">SUM(T8:T11)+T14</f>
        <v>0.99999999999999989</v>
      </c>
      <c r="U15" s="1056">
        <f ca="1">SUM(U8:U11)/(1-T14)</f>
        <v>39232008.9006797</v>
      </c>
      <c r="V15" s="634"/>
      <c r="AC15" s="23" t="s">
        <v>759</v>
      </c>
      <c r="AD15" s="413">
        <f ca="1">Resultado!C39</f>
        <v>14094180.963581188</v>
      </c>
      <c r="AE15" s="413">
        <f ca="1">Resultado!C33</f>
        <v>5845886.3369916435</v>
      </c>
      <c r="AF15" s="413">
        <f ca="1">Resultado!C24</f>
        <v>4795992.6437891256</v>
      </c>
      <c r="AG15" s="413">
        <f ca="1">Resultado!C14</f>
        <v>2915195.5257980474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760</v>
      </c>
      <c r="AC16" s="23" t="s">
        <v>761</v>
      </c>
      <c r="AD16" s="413">
        <f>Resultado!D39</f>
        <v>14343053.986877607</v>
      </c>
      <c r="AE16" s="413">
        <f ca="1">Resultado!D33</f>
        <v>6177301.1752223326</v>
      </c>
      <c r="AF16" s="413">
        <f>Resultado!D24</f>
        <v>4882651.6637400007</v>
      </c>
      <c r="AG16" s="413">
        <f ca="1">Resultado!D14</f>
        <v>4236489.6192647424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762</v>
      </c>
      <c r="S19" s="353" t="s">
        <v>732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6" t="s">
        <v>763</v>
      </c>
      <c r="T20" s="1836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742</v>
      </c>
      <c r="T21" s="55">
        <f ca="1">AX239</f>
        <v>0.48391692529062974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744</v>
      </c>
      <c r="T22" s="55">
        <f ca="1">AX230</f>
        <v>0.20841451158467938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748</v>
      </c>
      <c r="T23" s="55">
        <f ca="1">AX232</f>
        <v>0.16473463619002979</v>
      </c>
      <c r="Z23" s="30" t="s">
        <v>764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765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2.1208083978897032E-2</v>
      </c>
      <c r="AL26" s="353"/>
    </row>
    <row r="27" spans="2:46" ht="15" customHeight="1">
      <c r="S27" s="47" t="s">
        <v>41</v>
      </c>
      <c r="T27" s="55">
        <f ca="1">AX223</f>
        <v>0.11969076861040683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2.0350743453573222E-3</v>
      </c>
      <c r="AD28" s="47"/>
      <c r="AE28" s="392"/>
      <c r="AF28" s="56"/>
      <c r="AL28" s="353"/>
    </row>
    <row r="29" spans="2:46" ht="15" customHeight="1">
      <c r="S29" s="47" t="s">
        <v>766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57" t="s">
        <v>767</v>
      </c>
      <c r="T31" s="1058">
        <f ca="1">SUM(T21:T30)</f>
        <v>1</v>
      </c>
    </row>
    <row r="36" spans="1:36" ht="15" customHeight="1">
      <c r="N36" s="633" t="s">
        <v>768</v>
      </c>
      <c r="O36" s="633"/>
      <c r="P36" s="1059" t="e">
        <f>VLOOKUP(LnkTXTSigla,Informacoes[],35,FALSE)</f>
        <v>#REF!</v>
      </c>
      <c r="Q36" s="1060">
        <f>DATE(2013,MONTH(DataRevRea),1)</f>
        <v>41518</v>
      </c>
    </row>
    <row r="37" spans="1:36" ht="15" customHeight="1">
      <c r="L37" s="353" t="s">
        <v>732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1"/>
      <c r="M38" s="1062">
        <f t="shared" ref="M38:V38" si="0">DATE(M37,MONTH(DataRevRea),1)</f>
        <v>41518</v>
      </c>
      <c r="N38" s="1062">
        <f t="shared" si="0"/>
        <v>41883</v>
      </c>
      <c r="O38" s="1062">
        <f t="shared" si="0"/>
        <v>42248</v>
      </c>
      <c r="P38" s="1062">
        <f t="shared" si="0"/>
        <v>42614</v>
      </c>
      <c r="Q38" s="1062">
        <f t="shared" si="0"/>
        <v>42979</v>
      </c>
      <c r="R38" s="1062">
        <f t="shared" si="0"/>
        <v>43344</v>
      </c>
      <c r="S38" s="1062">
        <f t="shared" si="0"/>
        <v>43709</v>
      </c>
      <c r="T38" s="1062">
        <f t="shared" si="0"/>
        <v>44075</v>
      </c>
      <c r="U38" s="1062">
        <f t="shared" si="0"/>
        <v>44440</v>
      </c>
      <c r="V38" s="1062">
        <f t="shared" si="0"/>
        <v>44805</v>
      </c>
      <c r="W38" s="1062" t="s">
        <v>702</v>
      </c>
    </row>
    <row r="39" spans="1:36" ht="15" customHeight="1">
      <c r="L39" s="65" t="str">
        <f>CAPA!C9</f>
        <v>Certrel</v>
      </c>
      <c r="M39" s="401">
        <f>SUMIF(TAbtarifasb1[[#All],[Sigla]],LnkTXTSigla,TAbtarifasb1[[#All],[2013]])</f>
        <v>293.41000000000003</v>
      </c>
      <c r="N39" s="401">
        <f>SUMIF(TAbtarifasb1[[#All],[Sigla]],LnkTXTSigla,TAbtarifasb1[[#All],[2014]])</f>
        <v>293.20000000000005</v>
      </c>
      <c r="O39" s="401">
        <f>SUMIF(TAbtarifasb1[[#All],[Sigla]],LnkTXTSigla,TAbtarifasb1[[#All],[2015]])</f>
        <v>369.56</v>
      </c>
      <c r="P39" s="411">
        <f>SUMIF(TAbtarifasb1[[#All],[Sigla]],LnkTXTSigla,TAbtarifasb1[[#All],[2016]])</f>
        <v>364.44</v>
      </c>
      <c r="Q39" s="411">
        <f>SUMIF(TAbtarifasb1[[#All],[Sigla]],LnkTXTSigla,TAbtarifasb1[[#All],[2017]])</f>
        <v>507.27</v>
      </c>
      <c r="R39" s="756">
        <f>SUMIF(TAbtarifasb1[[#All],[Sigla]],LnkTXTSigla,TAbtarifasb1[[#All],[2018]])</f>
        <v>552.46</v>
      </c>
      <c r="S39" s="756">
        <f>SUMIF(TAbtarifasb1[[#All],[Sigla]],LnkTXTSigla,TAbtarifasb1[[#All],[2019]])</f>
        <v>620.12</v>
      </c>
      <c r="T39" s="413">
        <f>SUMIF(TAbtarifasb1[[#All],[Sigla]],LnkTXTSigla,TAbtarifasb1[[#All],[2020]])</f>
        <v>691.03000000000009</v>
      </c>
      <c r="U39" s="413">
        <f>SUMIF(TAbtarifasb1[[#All],[Sigla]],LnkTXTSigla,TAbtarifasb1[[#All],[2021]])</f>
        <v>729.03</v>
      </c>
      <c r="V39" s="413">
        <f>Resultado!L6</f>
        <v>782.31000000000006</v>
      </c>
      <c r="W39" s="744">
        <f>V39/M39-1</f>
        <v>1.6662690433182235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4">
        <f>V40/M40-1</f>
        <v>-1</v>
      </c>
    </row>
    <row r="41" spans="1:36" ht="15" customHeight="1">
      <c r="L41" s="65" t="s">
        <v>769</v>
      </c>
      <c r="M41" s="402">
        <f>M39</f>
        <v>293.41000000000003</v>
      </c>
      <c r="N41" s="402">
        <f>VLOOKUP(DATE(YEAR(O38),MONTH(O38)-1,1),Índices!$B:$F,2,FALSE)/VLOOKUP(DATE(YEAR(Q36),MONTH(Q36)-1,1),Índices!$B:$F,2,FALSE)*M41</f>
        <v>330.99430855410827</v>
      </c>
      <c r="O41" s="402">
        <f>VLOOKUP(DATE(YEAR(O38),MONTH(O38)-1,1),Índices!$B:$F,2,FALSE)/VLOOKUP(DATE(YEAR(N38),MONTH(N38)-1,1),Índices!$B:$F,2,FALSE)*N41</f>
        <v>355.99512604738027</v>
      </c>
      <c r="P41" s="402">
        <f>VLOOKUP(DATE(YEAR(P38),MONTH(P38)-1,1),Índices!$B:$F,2,FALSE)/VLOOKUP(DATE(YEAR(O38),MONTH(O38)-1,1),Índices!$B:$F,2,FALSE)*O41</f>
        <v>396.89531806727172</v>
      </c>
      <c r="Q41" s="402">
        <f>VLOOKUP(DATE(YEAR(Q38),MONTH(Q38)-1,1),Índices!$B:$F,2,FALSE)/VLOOKUP(DATE(YEAR(P38),MONTH(P38)-1,1),Índices!$B:$F,2,FALSE)*P41</f>
        <v>390.10344041376135</v>
      </c>
      <c r="R41" s="363">
        <f>IF(R37=YEAR(CAPA!$C$114),'Tabelas e Gráficos'!R39,(VLOOKUP(DATE(YEAR(R38),MONTH(R38)-1,1),Índices!$B:$F,2,FALSE)/VLOOKUP(DATE(YEAR(Q38),MONTH(Q38)-1,1),Índices!$B:$F,2,FALSE)*Q41))</f>
        <v>424.78869206544368</v>
      </c>
      <c r="S41" s="363">
        <f>IF(S37=YEAR(CAPA!$C$114),'Tabelas e Gráficos'!S39,(VLOOKUP(DATE(YEAR(S38),MONTH(S38)-1,1),Índices!$B:$F,2,FALSE)/VLOOKUP(DATE(YEAR(R38),MONTH(R38)-1,1),Índices!$B:$F,2,FALSE)*R41))</f>
        <v>445.81088223552553</v>
      </c>
      <c r="T41" s="363">
        <f>IF(T37=YEAR(CAPA!$C$114),'Tabelas e Gráficos'!T39,(VLOOKUP(DATE(YEAR(T38),MONTH(T38)-1,1),Índices!$B:$F,2,FALSE)/VLOOKUP(DATE(YEAR(S38),MONTH(S38)-1,1),Índices!$B:$F,2,FALSE)*S41))</f>
        <v>503.87450445014673</v>
      </c>
      <c r="U41" s="402">
        <f>VLOOKUP(DATE(YEAR(U38),MONTH(U38)-1,1),Índices!$B:$F,2,FALSE)/VLOOKUP(DATE(YEAR(T38),MONTH(T38)-1,1),Índices!$B:$F,2,FALSE)*T41</f>
        <v>660.65675768779363</v>
      </c>
      <c r="V41" s="402">
        <f>VLOOKUP(DATE(YEAR(V38),MONTH(V38)-1,1),Índices!$B:$F,2,FALSE)/VLOOKUP(DATE(YEAR(U38),MONTH(U38)-1,1),Índices!$B:$F,2,FALSE)*U41</f>
        <v>717.39033665392901</v>
      </c>
      <c r="W41" s="744">
        <f>V41/M41-1</f>
        <v>1.4450098382942946</v>
      </c>
    </row>
    <row r="42" spans="1:36" ht="15" customHeight="1">
      <c r="L42" s="1063" t="s">
        <v>770</v>
      </c>
      <c r="M42" s="1065">
        <f>M39</f>
        <v>293.41000000000003</v>
      </c>
      <c r="N42" s="1065">
        <f>VLOOKUP(DATE(YEAR(N38),MONTH(N38)-1,1),Índices!$B:$F,3,FALSE)/VLOOKUP(DATE(YEAR(Q36),MONTH(Q36)-1,1),Índices!$B:$F,3,FALSE)*M42</f>
        <v>312.51970482695697</v>
      </c>
      <c r="O42" s="1065">
        <f>VLOOKUP(DATE(YEAR(O38),MONTH(O38)-1,1),Índices!$B:$F,3,FALSE)/VLOOKUP(DATE(YEAR(N38),MONTH(N38)-1,1),Índices!$B:$F,3,FALSE)*N42</f>
        <v>342.28869858693764</v>
      </c>
      <c r="P42" s="1065">
        <f>VLOOKUP(DATE(YEAR(P38),MONTH(P38)-1,1),Índices!$B:$F,3,FALSE)/VLOOKUP(DATE(YEAR(O38),MONTH(O38)-1,1),Índices!$B:$F,3,FALSE)*O42</f>
        <v>373.00738963217441</v>
      </c>
      <c r="Q42" s="1065">
        <f>VLOOKUP(DATE(YEAR(Q38),MONTH(Q38)-1,1),Índices!$B:$F,3,FALSE)/VLOOKUP(DATE(YEAR(P38),MONTH(P38)-1,1),Índices!$B:$F,3,FALSE)*P42</f>
        <v>382.1681097975013</v>
      </c>
      <c r="R42" s="1064">
        <f>IF(R37=YEAR(CAPA!$C$114),'Tabelas e Gráficos'!R39,(VLOOKUP(DATE(YEAR(R38),MONTH(R38)-1,1),Índices!$B:$F,3,FALSE)/VLOOKUP(DATE(YEAR(Q38),MONTH(Q38)-1,1),Índices!$B:$F,3,FALSE)*'Tabelas e Gráficos'!Q42))</f>
        <v>398.19247966290487</v>
      </c>
      <c r="S42" s="1064">
        <f>IF(S37=YEAR(CAPA!$C$114),'Tabelas e Gráficos'!S39,(VLOOKUP(DATE(YEAR(S38),MONTH(S38)-1,1),Índices!$B:$F,3,FALSE)/VLOOKUP(DATE(YEAR(R38),MONTH(R38)-1,1),Índices!$B:$F,3,FALSE)*'Tabelas e Gráficos'!R42))</f>
        <v>411.8449687462259</v>
      </c>
      <c r="T42" s="1064">
        <f>IF(T37=YEAR(CAPA!$C$114),'Tabelas e Gráficos'!T39,(VLOOKUP(DATE(YEAR(T38),MONTH(T38)-1,1),Índices!$B:$F,3,FALSE)/VLOOKUP(DATE(YEAR(S38),MONTH(S38)-1,1),Índices!$B:$F,3,FALSE)*'Tabelas e Gráficos'!S42))</f>
        <v>421.8876631731506</v>
      </c>
      <c r="U42" s="1065">
        <f>VLOOKUP(DATE(YEAR(U38),MONTH(U38)-1,1),Índices!$B:$F,3,FALSE)/VLOOKUP(DATE(YEAR(T38),MONTH(T38)-1,1),Índices!$B:$F,3,FALSE)*T42</f>
        <v>462.72543391618262</v>
      </c>
      <c r="V42" s="1065">
        <f>VLOOKUP(DATE(YEAR(V38),MONTH(V38)-1,1),Índices!$B:$F,3,FALSE)/VLOOKUP(DATE(YEAR(U38),MONTH(U38)-1,1),Índices!$B:$F,3,FALSE)*U42</f>
        <v>503.10883041908795</v>
      </c>
      <c r="W42" s="744">
        <f>V42/M42-1</f>
        <v>0.71469558099276753</v>
      </c>
    </row>
    <row r="43" spans="1:36" ht="15" customHeight="1">
      <c r="X43" s="23">
        <v>938.62</v>
      </c>
    </row>
    <row r="44" spans="1:36" ht="15" customHeight="1">
      <c r="X44" s="835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727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4"/>
      <c r="B49" s="644"/>
      <c r="C49" s="644"/>
      <c r="D49" s="644"/>
      <c r="E49" s="644"/>
      <c r="F49" s="644"/>
      <c r="G49" s="644"/>
      <c r="H49" s="645"/>
      <c r="I49" s="644"/>
      <c r="J49" s="644"/>
      <c r="K49" s="646"/>
      <c r="L49" s="646"/>
      <c r="M49" s="646"/>
      <c r="N49" s="646"/>
      <c r="O49" s="646"/>
      <c r="P49" s="646"/>
      <c r="Q49" s="644"/>
      <c r="R49" s="644"/>
      <c r="S49" s="647"/>
      <c r="T49" s="644"/>
      <c r="U49" s="644"/>
      <c r="V49" s="644"/>
      <c r="W49" s="644"/>
      <c r="X49" s="644"/>
      <c r="Y49" s="644"/>
      <c r="Z49" s="644"/>
      <c r="AA49" s="644"/>
      <c r="AB49" s="644"/>
      <c r="AC49" s="644"/>
      <c r="AD49" s="644"/>
    </row>
    <row r="50" spans="1:47" ht="15" customHeight="1">
      <c r="B50" s="302" t="s">
        <v>729</v>
      </c>
      <c r="C50" s="303" t="s">
        <v>771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772</v>
      </c>
      <c r="C51" s="304" t="s">
        <v>773</v>
      </c>
      <c r="H51" s="23"/>
      <c r="K51" s="49"/>
      <c r="L51" s="1837"/>
      <c r="M51" s="1837"/>
      <c r="N51" s="1837"/>
      <c r="O51" s="49"/>
      <c r="P51" s="49"/>
    </row>
    <row r="52" spans="1:47" ht="15" customHeight="1">
      <c r="B52" s="305" t="s">
        <v>774</v>
      </c>
      <c r="C52" s="306">
        <f ca="1">Resultado!C5</f>
        <v>29639496.445104681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775</v>
      </c>
      <c r="C53" s="306">
        <f ca="1">Resultado!C6</f>
        <v>27651255.470160004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7.1904184498613466E-2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722</v>
      </c>
      <c r="C55" s="309">
        <f ca="1">Resultado!C8</f>
        <v>-0.1027</v>
      </c>
      <c r="D55" s="307"/>
      <c r="E55" s="28"/>
      <c r="H55" s="23"/>
      <c r="K55" s="49"/>
      <c r="L55" s="643"/>
      <c r="M55" s="640"/>
      <c r="N55" s="641"/>
      <c r="O55" s="49"/>
      <c r="P55" s="49"/>
    </row>
    <row r="56" spans="1:47" ht="15" customHeight="1">
      <c r="B56" s="1066" t="str">
        <f>Resultado!B9</f>
        <v>Variação econômica e financeira</v>
      </c>
      <c r="C56" s="1067">
        <f ca="1">C54+C55</f>
        <v>-3.0795815501386534E-2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730</v>
      </c>
      <c r="F58" s="311"/>
      <c r="G58" s="303" t="s">
        <v>771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776</v>
      </c>
      <c r="F59" s="304" t="s">
        <v>777</v>
      </c>
      <c r="G59" s="304" t="s">
        <v>778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779</v>
      </c>
      <c r="F60" s="306">
        <f ca="1">Calc_Mercado!C8</f>
        <v>44819.61</v>
      </c>
      <c r="G60" s="306">
        <f ca="1">Calc_Mercado!D8</f>
        <v>27651255.470160004</v>
      </c>
      <c r="H60" s="313" t="s">
        <v>780</v>
      </c>
    </row>
    <row r="61" spans="1:47" ht="15" hidden="1" customHeight="1">
      <c r="E61" s="305" t="s">
        <v>781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782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783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784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785</v>
      </c>
      <c r="F65" s="306">
        <f ca="1">Calc_Mercado!C13</f>
        <v>29902.844000000001</v>
      </c>
      <c r="G65" s="306">
        <f ca="1">Calc_Mercado!D13</f>
        <v>15783870.772030007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786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787</v>
      </c>
      <c r="F67" s="306">
        <f ca="1">Calc_Mercado!C15</f>
        <v>14916.766000000001</v>
      </c>
      <c r="G67" s="306">
        <f ca="1">Calc_Mercado!D15</f>
        <v>11867384.698129997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788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789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66" t="s">
        <v>767</v>
      </c>
      <c r="F70" s="1068">
        <f ca="1">Calc_Mercado!C25</f>
        <v>44819.61</v>
      </c>
      <c r="G70" s="1068">
        <f ca="1">Calc_Mercado!D25</f>
        <v>27651255.470160004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731</v>
      </c>
      <c r="J72" s="311"/>
      <c r="K72" s="303" t="s">
        <v>771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790</v>
      </c>
      <c r="J73" s="296" t="s">
        <v>791</v>
      </c>
      <c r="K73" s="296" t="s">
        <v>792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39"/>
      <c r="D74" s="1839"/>
      <c r="E74" s="1839"/>
      <c r="I74" s="1069" t="s">
        <v>741</v>
      </c>
      <c r="J74" s="1070">
        <f ca="1">SUM(J75:J84)</f>
        <v>2915195.5257980474</v>
      </c>
      <c r="K74" s="1071">
        <f ca="1">SUM(K75:K84)</f>
        <v>0.10542723924213843</v>
      </c>
      <c r="L74" s="313" t="s">
        <v>780</v>
      </c>
      <c r="N74" s="34"/>
      <c r="AG74" s="49"/>
      <c r="AH74" s="1830"/>
      <c r="AI74" s="1830"/>
      <c r="AJ74" s="1830"/>
      <c r="AK74" s="636"/>
      <c r="AL74" s="49"/>
      <c r="AM74" s="49"/>
      <c r="AN74" s="49"/>
      <c r="AO74" s="49"/>
    </row>
    <row r="75" spans="2:43" ht="15" hidden="1" customHeight="1">
      <c r="B75" s="30"/>
      <c r="C75" s="1834"/>
      <c r="D75" s="1834"/>
      <c r="E75" s="1834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31"/>
      <c r="AI75" s="1831"/>
      <c r="AJ75" s="1831"/>
      <c r="AK75" s="637"/>
      <c r="AL75" s="417"/>
      <c r="AM75" s="49"/>
      <c r="AN75" s="49"/>
      <c r="AO75" s="49"/>
    </row>
    <row r="76" spans="2:43" ht="15" hidden="1" customHeight="1">
      <c r="B76" s="30"/>
      <c r="C76" s="1834"/>
      <c r="D76" s="1834"/>
      <c r="E76" s="1834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8"/>
      <c r="AL76" s="49"/>
      <c r="AM76" s="49"/>
      <c r="AN76" s="49"/>
      <c r="AO76" s="49"/>
    </row>
    <row r="77" spans="2:43" ht="15" customHeight="1">
      <c r="B77" s="30"/>
      <c r="C77" s="1834"/>
      <c r="D77" s="1834"/>
      <c r="E77" s="1834"/>
      <c r="I77" s="35" t="str">
        <f>Resultado!B17</f>
        <v>Taxa de Fisc. de Serviços de E.E. – TFSEE</v>
      </c>
      <c r="J77" s="315">
        <f ca="1">Mercado_Faturado_Encargo_TFSEE_BRUTO</f>
        <v>56252.212149718573</v>
      </c>
      <c r="K77" s="36">
        <f ca="1">J77/$J$98</f>
        <v>2.0343456813533634E-3</v>
      </c>
      <c r="L77" s="313">
        <f ca="1">IF(J77=0,0,1)</f>
        <v>1</v>
      </c>
      <c r="N77" s="36"/>
      <c r="AG77" s="49"/>
      <c r="AH77" s="49"/>
      <c r="AI77" s="49"/>
      <c r="AJ77" s="49"/>
      <c r="AK77" s="638"/>
      <c r="AL77" s="49"/>
      <c r="AM77" s="49"/>
      <c r="AN77" s="49"/>
      <c r="AO77" s="49"/>
    </row>
    <row r="78" spans="2:43" ht="15" customHeight="1">
      <c r="B78" s="30"/>
      <c r="C78" s="1834"/>
      <c r="D78" s="1834"/>
      <c r="E78" s="1834"/>
      <c r="I78" s="35" t="str">
        <f>Resultado!B18</f>
        <v>Conta de Desenvolvimento Energético – CDE</v>
      </c>
      <c r="J78" s="315">
        <f ca="1">Mercado_Faturado_Encargo_CDE_BRUTO</f>
        <v>2444593.6090302705</v>
      </c>
      <c r="K78" s="36">
        <f ca="1">J78/$J$98</f>
        <v>8.8408051188430356E-2</v>
      </c>
      <c r="L78" s="313">
        <f t="shared" ref="L78:L95" ca="1" si="2">IF(J78=0,0,1)</f>
        <v>1</v>
      </c>
      <c r="N78" s="36"/>
      <c r="AG78" s="49"/>
      <c r="AH78" s="1831"/>
      <c r="AI78" s="1831"/>
      <c r="AJ78" s="1831"/>
      <c r="AK78" s="637"/>
      <c r="AL78" s="417"/>
      <c r="AM78" s="49"/>
      <c r="AN78" s="49"/>
      <c r="AO78" s="49"/>
    </row>
    <row r="79" spans="2:43" ht="15" hidden="1" customHeight="1">
      <c r="B79" s="30"/>
      <c r="C79" s="1834"/>
      <c r="D79" s="1834"/>
      <c r="E79" s="1834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8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07"/>
      <c r="D80" s="1707"/>
      <c r="E80" s="1707"/>
      <c r="I80" s="35" t="s">
        <v>2301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8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34"/>
      <c r="D81" s="1834"/>
      <c r="E81" s="1834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8"/>
      <c r="AL81" s="49"/>
      <c r="AM81" s="49"/>
      <c r="AN81" s="49"/>
      <c r="AO81" s="49"/>
    </row>
    <row r="82" spans="2:41" ht="15" customHeight="1">
      <c r="B82" s="30"/>
      <c r="C82" s="1834"/>
      <c r="D82" s="1834"/>
      <c r="E82" s="1834"/>
      <c r="I82" s="35" t="str">
        <f>Resultado!B21</f>
        <v>PROINFA</v>
      </c>
      <c r="J82" s="315">
        <f ca="1">Mercado_Faturado_Encargo_PROINFA_BRUTO</f>
        <v>414349.70461805823</v>
      </c>
      <c r="K82" s="36">
        <f ca="1">J82/$J$98</f>
        <v>1.4984842372354697E-2</v>
      </c>
      <c r="L82" s="313">
        <f t="shared" ca="1" si="2"/>
        <v>1</v>
      </c>
      <c r="N82" s="34"/>
      <c r="AG82" s="49"/>
      <c r="AH82" s="49"/>
      <c r="AI82" s="49"/>
      <c r="AJ82" s="49"/>
      <c r="AK82" s="638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31"/>
      <c r="AI83" s="1831"/>
      <c r="AJ83" s="1831"/>
      <c r="AK83" s="637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8"/>
      <c r="AL84" s="49"/>
      <c r="AM84" s="49"/>
      <c r="AN84" s="49"/>
      <c r="AO84" s="49"/>
    </row>
    <row r="85" spans="2:41" ht="15" customHeight="1">
      <c r="I85" s="1069" t="s">
        <v>793</v>
      </c>
      <c r="J85" s="1070">
        <f ca="1">SUM(Calc_Mercado!C79:C85)</f>
        <v>5845886.3369916435</v>
      </c>
      <c r="K85" s="1071">
        <f ca="1">SUM(K86)</f>
        <v>0.21141486119139372</v>
      </c>
      <c r="L85" s="313">
        <f t="shared" ca="1" si="2"/>
        <v>1</v>
      </c>
      <c r="N85" s="36"/>
      <c r="AG85" s="49"/>
      <c r="AH85" s="49"/>
      <c r="AI85" s="49"/>
      <c r="AJ85" s="49"/>
      <c r="AK85" s="638"/>
      <c r="AL85" s="49"/>
      <c r="AM85" s="49"/>
      <c r="AN85" s="49"/>
      <c r="AO85" s="49"/>
    </row>
    <row r="86" spans="2:41" ht="15" customHeight="1">
      <c r="B86" s="30"/>
      <c r="I86" s="37" t="s">
        <v>794</v>
      </c>
      <c r="J86" s="315">
        <f ca="1">J85</f>
        <v>5845886.3369916435</v>
      </c>
      <c r="K86" s="36">
        <f t="shared" ref="K86:K97" ca="1" si="3">J86/$J$98</f>
        <v>0.21141486119139372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33"/>
      <c r="C87" s="1833"/>
      <c r="D87" s="1833"/>
      <c r="E87" s="1833"/>
      <c r="F87" s="1833"/>
      <c r="G87" s="39"/>
      <c r="I87" s="1069" t="s">
        <v>795</v>
      </c>
      <c r="J87" s="1070">
        <f ca="1">Resultado!C24</f>
        <v>4795992.6437891256</v>
      </c>
      <c r="K87" s="1071">
        <f t="shared" ca="1" si="3"/>
        <v>0.17344574639530369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32"/>
      <c r="C88" s="1832"/>
      <c r="D88" s="1832"/>
      <c r="E88" s="1832"/>
      <c r="F88" s="1832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39"/>
      <c r="AI88" s="640"/>
      <c r="AJ88" s="641"/>
      <c r="AK88" s="642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2"/>
      <c r="C90" s="1832"/>
      <c r="D90" s="1832"/>
      <c r="E90" s="1832"/>
      <c r="F90" s="1832"/>
      <c r="G90" s="42"/>
      <c r="I90" s="37" t="s">
        <v>716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717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718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719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33"/>
      <c r="C95" s="1833"/>
      <c r="D95" s="1833"/>
      <c r="E95" s="1833"/>
      <c r="F95" s="1833"/>
      <c r="G95" s="42"/>
      <c r="I95" s="37" t="s">
        <v>639</v>
      </c>
      <c r="J95" s="315">
        <f ca="1">Resultado!C32</f>
        <v>4795992.6437891256</v>
      </c>
      <c r="K95" s="36">
        <f t="shared" ca="1" si="3"/>
        <v>0.17344574639530369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2"/>
      <c r="C96" s="1832"/>
      <c r="D96" s="1832"/>
      <c r="E96" s="1832"/>
      <c r="F96" s="1832"/>
      <c r="I96" s="1069" t="s">
        <v>796</v>
      </c>
      <c r="J96" s="1070">
        <f ca="1">J87+J85+J74</f>
        <v>13557074.506578816</v>
      </c>
      <c r="K96" s="1071">
        <f t="shared" ca="1" si="3"/>
        <v>0.4902878468288358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2"/>
      <c r="C97" s="1832"/>
      <c r="D97" s="1832"/>
      <c r="E97" s="1832"/>
      <c r="F97" s="1832"/>
      <c r="I97" s="1069" t="s">
        <v>797</v>
      </c>
      <c r="J97" s="1070">
        <f ca="1">J98-J96</f>
        <v>14094180.963581188</v>
      </c>
      <c r="K97" s="1071">
        <f t="shared" ca="1" si="3"/>
        <v>0.50971215317116414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3"/>
      <c r="C98" s="1833"/>
      <c r="D98" s="1833"/>
      <c r="E98" s="1833"/>
      <c r="F98" s="1833"/>
      <c r="G98" s="28"/>
      <c r="I98" s="1066" t="s">
        <v>798</v>
      </c>
      <c r="J98" s="1068">
        <f ca="1">Mercado_RA0_Reais</f>
        <v>27651255.470160004</v>
      </c>
      <c r="K98" s="1072">
        <f ca="1">K96+K97</f>
        <v>1</v>
      </c>
      <c r="L98" s="31"/>
      <c r="AG98" s="49"/>
      <c r="AH98" s="635"/>
      <c r="AI98" s="635"/>
      <c r="AJ98" s="635"/>
      <c r="AK98" s="49"/>
      <c r="AL98" s="49"/>
      <c r="AM98" s="49"/>
      <c r="AN98" s="49"/>
      <c r="AO98" s="49"/>
    </row>
    <row r="99" spans="2:41" ht="15" customHeight="1">
      <c r="B99" s="1832"/>
      <c r="C99" s="1832"/>
      <c r="D99" s="1832"/>
      <c r="E99" s="1832"/>
      <c r="F99" s="1832"/>
      <c r="G99" s="42"/>
      <c r="M99" s="302" t="s">
        <v>733</v>
      </c>
      <c r="N99" s="303" t="s">
        <v>771</v>
      </c>
      <c r="AH99" s="418"/>
      <c r="AI99" s="419"/>
      <c r="AJ99" s="419"/>
      <c r="AL99" s="49"/>
      <c r="AM99" s="49"/>
      <c r="AN99" s="49"/>
    </row>
    <row r="100" spans="2:41" ht="15" customHeight="1">
      <c r="B100" s="1832"/>
      <c r="C100" s="1832"/>
      <c r="D100" s="1832"/>
      <c r="E100" s="1832"/>
      <c r="F100" s="1832"/>
      <c r="G100" s="42"/>
      <c r="M100" s="296" t="s">
        <v>741</v>
      </c>
      <c r="N100" s="296" t="s">
        <v>773</v>
      </c>
      <c r="O100" s="318" t="s">
        <v>780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60318.578824742086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3547574.1107399999</v>
      </c>
      <c r="O104" s="319">
        <f t="shared" ca="1" si="4"/>
        <v>1</v>
      </c>
    </row>
    <row r="105" spans="2:41" ht="15" hidden="1" customHeight="1">
      <c r="B105" s="1832"/>
      <c r="C105" s="1832"/>
      <c r="D105" s="1832"/>
      <c r="E105" s="1832"/>
      <c r="F105" s="1832"/>
      <c r="G105" s="45"/>
      <c r="M105" s="35" t="s">
        <v>799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2052</v>
      </c>
      <c r="N106" s="315">
        <f>Encargos!I21</f>
        <v>0</v>
      </c>
      <c r="O106" s="1551">
        <f>IF(N106=0,0,1)</f>
        <v>0</v>
      </c>
    </row>
    <row r="107" spans="2:41" ht="15" hidden="1" customHeight="1">
      <c r="B107" s="1832"/>
      <c r="C107" s="1832"/>
      <c r="D107" s="1832"/>
      <c r="E107" s="1832"/>
      <c r="F107" s="1832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33"/>
      <c r="C108" s="1833"/>
      <c r="D108" s="1833"/>
      <c r="E108" s="1833"/>
      <c r="F108" s="1833"/>
      <c r="G108" s="39"/>
      <c r="M108" s="35" t="str">
        <f>Resultado!B21</f>
        <v>PROINFA</v>
      </c>
      <c r="N108" s="315">
        <f ca="1">Resultado!D21</f>
        <v>628596.9297000001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6" t="s">
        <v>767</v>
      </c>
      <c r="N111" s="1068">
        <f ca="1">SUM(N101:N110)</f>
        <v>4236489.6192647424</v>
      </c>
    </row>
    <row r="112" spans="2:41" ht="15" customHeight="1">
      <c r="B112" s="29"/>
      <c r="C112" s="29"/>
      <c r="D112" s="29"/>
      <c r="P112" s="321" t="s">
        <v>740</v>
      </c>
      <c r="Q112" s="303" t="s">
        <v>771</v>
      </c>
    </row>
    <row r="113" spans="2:44" ht="15" customHeight="1">
      <c r="B113" s="46"/>
      <c r="C113" s="307"/>
      <c r="D113" s="307"/>
      <c r="P113" s="296" t="s">
        <v>776</v>
      </c>
      <c r="Q113" s="296" t="s">
        <v>800</v>
      </c>
    </row>
    <row r="114" spans="2:44" ht="15" customHeight="1">
      <c r="B114" s="46"/>
      <c r="C114" s="307"/>
      <c r="D114" s="307"/>
      <c r="P114" s="35" t="s">
        <v>801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666</v>
      </c>
      <c r="Q115" s="1073">
        <f ca="1">Energia!N14</f>
        <v>0.10319399577352981</v>
      </c>
    </row>
    <row r="116" spans="2:44" ht="15" customHeight="1">
      <c r="B116" s="46"/>
      <c r="C116" s="307"/>
      <c r="D116" s="307"/>
      <c r="P116" s="1066" t="s">
        <v>767</v>
      </c>
      <c r="Q116" s="1072">
        <f ca="1">SUM(Q114:Q115)</f>
        <v>0.10319399577352981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802</v>
      </c>
      <c r="T119" s="303" t="s">
        <v>771</v>
      </c>
    </row>
    <row r="120" spans="2:44" ht="15" customHeight="1">
      <c r="B120" s="46"/>
      <c r="C120" s="307"/>
      <c r="D120" s="307"/>
      <c r="P120" s="44"/>
      <c r="Q120" s="307"/>
      <c r="S120" s="296" t="s">
        <v>776</v>
      </c>
      <c r="T120" s="296" t="s">
        <v>777</v>
      </c>
    </row>
    <row r="121" spans="2:44" ht="15" customHeight="1">
      <c r="B121" s="46"/>
      <c r="C121" s="307"/>
      <c r="D121" s="307"/>
      <c r="P121" s="44"/>
      <c r="Q121" s="307"/>
      <c r="S121" s="1074" t="s">
        <v>803</v>
      </c>
      <c r="T121" s="1075">
        <f ca="1">SUM(T122:T123)</f>
        <v>44819.61</v>
      </c>
      <c r="U121" s="318" t="s">
        <v>780</v>
      </c>
    </row>
    <row r="122" spans="2:44" ht="15" customHeight="1">
      <c r="B122" s="46"/>
      <c r="C122" s="307"/>
      <c r="D122" s="307"/>
      <c r="P122" s="44"/>
      <c r="Q122" s="307"/>
      <c r="S122" s="47" t="s">
        <v>804</v>
      </c>
      <c r="T122" s="322">
        <f ca="1">Energia!D7</f>
        <v>44819.61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805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4" t="s">
        <v>806</v>
      </c>
      <c r="T124" s="1076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807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808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6" t="s">
        <v>802</v>
      </c>
      <c r="T127" s="1077">
        <f ca="1">T121+T124</f>
        <v>44819.61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78" t="s">
        <v>809</v>
      </c>
      <c r="W129" s="1078"/>
      <c r="X129" s="303" t="s">
        <v>771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1" t="s">
        <v>27</v>
      </c>
      <c r="W130" s="1079" t="s">
        <v>77</v>
      </c>
      <c r="X130" s="1061" t="s">
        <v>810</v>
      </c>
      <c r="Y130" s="318" t="s">
        <v>780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125.51814570000001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0">
        <f>Energia!B32</f>
        <v>0</v>
      </c>
      <c r="W135" s="1080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1"/>
      <c r="W136" s="1082"/>
      <c r="X136" s="1083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78" t="s">
        <v>811</v>
      </c>
      <c r="AA138" s="1078"/>
      <c r="AB138" s="1078"/>
      <c r="AC138" s="303" t="s">
        <v>771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776</v>
      </c>
      <c r="AA139" s="296" t="s">
        <v>777</v>
      </c>
      <c r="AB139" s="296" t="s">
        <v>810</v>
      </c>
      <c r="AC139" s="296" t="s">
        <v>812</v>
      </c>
      <c r="AD139" s="329" t="s">
        <v>780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49207.447</v>
      </c>
      <c r="AB140" s="331">
        <f>Energia!G35</f>
        <v>284.99</v>
      </c>
      <c r="AC140" s="332">
        <f>AA140*AB140</f>
        <v>14023630.320530001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4">
        <f>Energia!C20</f>
        <v>762.52146735008182</v>
      </c>
      <c r="AB142" s="1085">
        <f>Energia!D20</f>
        <v>0</v>
      </c>
      <c r="AC142" s="1086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4" t="s">
        <v>813</v>
      </c>
      <c r="AA143" s="1087">
        <f ca="1">Energia!M30-Energia!L30</f>
        <v>6.9605326499222429</v>
      </c>
      <c r="AB143" s="1088">
        <f>Energia!M34</f>
        <v>0</v>
      </c>
      <c r="AC143" s="1088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6" t="s">
        <v>767</v>
      </c>
      <c r="AA144" s="1089">
        <f ca="1">SUM(AA140:AA143)</f>
        <v>49976.929000000004</v>
      </c>
      <c r="AB144" s="1090">
        <f ca="1">AC144/AA144</f>
        <v>280.60208182319485</v>
      </c>
      <c r="AC144" s="1090">
        <f ca="1">SUM(AC140:AC143)</f>
        <v>14023630.320530001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1" t="s">
        <v>751</v>
      </c>
      <c r="AF146" s="1091"/>
      <c r="AG146" s="1091"/>
      <c r="AH146" s="1091"/>
      <c r="AI146" s="1091"/>
      <c r="AJ146" s="1091"/>
      <c r="AK146" s="303" t="s">
        <v>771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1" t="s">
        <v>27</v>
      </c>
      <c r="AF147" s="1061" t="s">
        <v>77</v>
      </c>
      <c r="AG147" s="1061" t="s">
        <v>814</v>
      </c>
      <c r="AH147" s="1061" t="s">
        <v>815</v>
      </c>
      <c r="AI147" s="1061" t="s">
        <v>60</v>
      </c>
      <c r="AJ147" s="1061" t="s">
        <v>816</v>
      </c>
      <c r="AK147" s="1061" t="s">
        <v>812</v>
      </c>
      <c r="AL147" s="318" t="s">
        <v>780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145305</v>
      </c>
      <c r="AJ148" s="397">
        <f>CUSD!J6</f>
        <v>13.88</v>
      </c>
      <c r="AK148" s="334">
        <f>IFERROR(AI148*AJ148,0)</f>
        <v>2016833.4000000001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93710</v>
      </c>
      <c r="AJ149" s="397">
        <f>CUSD!J7</f>
        <v>24.15</v>
      </c>
      <c r="AK149" s="334">
        <f t="shared" ref="AK149:AK155" si="6">IFERROR(AI149*AJ149,0)</f>
        <v>2263096.5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46610.697999999997</v>
      </c>
      <c r="AJ150" s="397">
        <f>CUSD!J8</f>
        <v>12.06</v>
      </c>
      <c r="AK150" s="334">
        <f t="shared" si="6"/>
        <v>562125.01787999994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3366.2310000000002</v>
      </c>
      <c r="AJ151" s="397">
        <f>CUSD!J9</f>
        <v>12.06</v>
      </c>
      <c r="AK151" s="334">
        <f t="shared" si="6"/>
        <v>40596.745860000003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6" t="s">
        <v>817</v>
      </c>
      <c r="AF163" s="1066"/>
      <c r="AG163" s="1066"/>
      <c r="AH163" s="1066"/>
      <c r="AI163" s="1092">
        <f>SUM(AI148:AI162)</f>
        <v>288991.929</v>
      </c>
      <c r="AJ163" s="1068"/>
      <c r="AK163" s="1068">
        <f>SUM(AK148:AK162)</f>
        <v>4882651.6637400007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42" t="s">
        <v>818</v>
      </c>
      <c r="AN165" s="1743" t="s">
        <v>771</v>
      </c>
    </row>
    <row r="166" spans="2:42" ht="15" customHeight="1">
      <c r="B166" s="46"/>
      <c r="C166" s="307"/>
      <c r="D166" s="307"/>
      <c r="P166" s="44"/>
      <c r="Q166" s="307"/>
      <c r="AM166" s="1744" t="s">
        <v>722</v>
      </c>
      <c r="AN166" s="1708" t="s">
        <v>773</v>
      </c>
      <c r="AO166" s="23" t="s">
        <v>780</v>
      </c>
      <c r="AP166" s="650" t="s">
        <v>819</v>
      </c>
    </row>
    <row r="167" spans="2:42" ht="15" customHeight="1">
      <c r="B167" s="46"/>
      <c r="C167" s="307"/>
      <c r="D167" s="307"/>
      <c r="P167" s="44"/>
      <c r="Q167" s="307"/>
      <c r="AM167" s="922" t="s">
        <v>2302</v>
      </c>
      <c r="AN167" s="1745">
        <f ca="1">SUM(Financeiros!D9:D14)</f>
        <v>344859.5195844142</v>
      </c>
      <c r="AO167" s="23">
        <f t="shared" ref="AO167:AO207" ca="1" si="8">IF(AN167=0,0,1)</f>
        <v>1</v>
      </c>
      <c r="AP167" s="650"/>
    </row>
    <row r="168" spans="2:42" ht="15" customHeight="1">
      <c r="B168" s="46"/>
      <c r="C168" s="307"/>
      <c r="D168" s="307"/>
      <c r="P168" s="44"/>
      <c r="Q168" s="307"/>
      <c r="AM168" s="922" t="s">
        <v>726</v>
      </c>
      <c r="AN168" s="1745">
        <f ca="1">SUM(Financeiros!D15:D19,D21)</f>
        <v>-35573.907815025726</v>
      </c>
      <c r="AO168" s="23">
        <f t="shared" ca="1" si="8"/>
        <v>1</v>
      </c>
      <c r="AP168" s="650"/>
    </row>
    <row r="169" spans="2:42" ht="15" hidden="1" customHeight="1">
      <c r="B169" s="46"/>
      <c r="C169" s="307"/>
      <c r="D169" s="307"/>
      <c r="P169" s="44"/>
      <c r="Q169" s="307"/>
      <c r="AM169" s="925" t="s">
        <v>2100</v>
      </c>
      <c r="AN169" s="926">
        <f ca="1">Financeiros!D20+Financeiros!D22</f>
        <v>0</v>
      </c>
      <c r="AO169" s="23">
        <f t="shared" ca="1" si="8"/>
        <v>0</v>
      </c>
      <c r="AP169" s="650"/>
    </row>
    <row r="170" spans="2:42" ht="15" hidden="1" customHeight="1">
      <c r="B170" s="46"/>
      <c r="C170" s="307"/>
      <c r="D170" s="307"/>
      <c r="P170" s="44"/>
      <c r="Q170" s="307"/>
      <c r="AM170" s="925" t="s">
        <v>2157</v>
      </c>
      <c r="AN170" s="926">
        <f ca="1">Financeiros!D23</f>
        <v>0</v>
      </c>
      <c r="AO170" s="650">
        <f ca="1">IF(AN170=0,0,1)</f>
        <v>0</v>
      </c>
      <c r="AP170" s="650"/>
    </row>
    <row r="171" spans="2:42" ht="15" hidden="1" customHeight="1">
      <c r="B171" s="46"/>
      <c r="C171" s="307"/>
      <c r="D171" s="307"/>
      <c r="P171" s="44"/>
      <c r="Q171" s="307"/>
      <c r="AM171" s="922" t="s">
        <v>2303</v>
      </c>
      <c r="AN171" s="1745">
        <f>SUM(Financeiros!D24:D25)</f>
        <v>0</v>
      </c>
      <c r="AO171" s="23">
        <f t="shared" si="8"/>
        <v>0</v>
      </c>
      <c r="AP171" s="650"/>
    </row>
    <row r="172" spans="2:42" ht="15" hidden="1" customHeight="1">
      <c r="B172" s="46"/>
      <c r="C172" s="307"/>
      <c r="D172" s="307"/>
      <c r="P172" s="44"/>
      <c r="Q172" s="307"/>
      <c r="AM172" s="922"/>
      <c r="AN172" s="1745"/>
      <c r="AO172" s="23">
        <f t="shared" si="8"/>
        <v>0</v>
      </c>
      <c r="AP172" s="650"/>
    </row>
    <row r="173" spans="2:42" ht="15" hidden="1" customHeight="1">
      <c r="B173" s="46"/>
      <c r="C173" s="307"/>
      <c r="D173" s="307"/>
      <c r="P173" s="44"/>
      <c r="Q173" s="307"/>
      <c r="AM173" s="922"/>
      <c r="AN173" s="1745"/>
      <c r="AO173" s="23">
        <f t="shared" si="8"/>
        <v>0</v>
      </c>
      <c r="AP173" s="650"/>
    </row>
    <row r="174" spans="2:42" ht="15" hidden="1" customHeight="1">
      <c r="B174" s="46"/>
      <c r="C174" s="307"/>
      <c r="D174" s="307"/>
      <c r="P174" s="44"/>
      <c r="Q174" s="307"/>
      <c r="AM174" s="922" t="str">
        <f>Financeiros!C26</f>
        <v>Manual de Contabilidade do Setor Elétrico</v>
      </c>
      <c r="AN174" s="1745">
        <f>LnkTxTSubvencaoCDE</f>
        <v>0</v>
      </c>
      <c r="AO174" s="23">
        <f t="shared" si="8"/>
        <v>0</v>
      </c>
      <c r="AP174" s="650"/>
    </row>
    <row r="175" spans="2:42" ht="15" hidden="1" customHeight="1">
      <c r="B175" s="46"/>
      <c r="C175" s="307"/>
      <c r="D175" s="307"/>
      <c r="P175" s="44"/>
      <c r="Q175" s="307"/>
      <c r="AM175" s="922" t="str">
        <f>Financeiros!C27</f>
        <v>Financeiro CDE Eletrobras</v>
      </c>
      <c r="AN175" s="1745">
        <f>LnkTXTBandeira</f>
        <v>0</v>
      </c>
      <c r="AO175" s="23">
        <f t="shared" si="8"/>
        <v>0</v>
      </c>
      <c r="AP175" s="650"/>
    </row>
    <row r="176" spans="2:42" ht="15" hidden="1" customHeight="1">
      <c r="B176" s="46"/>
      <c r="C176" s="307"/>
      <c r="D176" s="307"/>
      <c r="P176" s="44"/>
      <c r="Q176" s="307"/>
      <c r="AM176" s="922" t="s">
        <v>2305</v>
      </c>
      <c r="AN176" s="1745">
        <f>Financeiros!D28</f>
        <v>0</v>
      </c>
      <c r="AO176" s="23">
        <f t="shared" si="8"/>
        <v>0</v>
      </c>
      <c r="AP176" s="650"/>
    </row>
    <row r="177" spans="2:42" ht="15" hidden="1" customHeight="1">
      <c r="B177" s="46"/>
      <c r="C177" s="307"/>
      <c r="D177" s="307"/>
      <c r="P177" s="44"/>
      <c r="Q177" s="307"/>
      <c r="AM177" s="922" t="str">
        <f>Financeiros!C29</f>
        <v>Compensação DIC FIC</v>
      </c>
      <c r="AN177" s="1745">
        <f>Financeiros!D29</f>
        <v>0</v>
      </c>
      <c r="AO177" s="650">
        <f>IF(AN177=0,0,1)</f>
        <v>0</v>
      </c>
      <c r="AP177" s="650"/>
    </row>
    <row r="178" spans="2:42" ht="15" customHeight="1">
      <c r="B178" s="46"/>
      <c r="C178" s="307"/>
      <c r="D178" s="307"/>
      <c r="P178" s="44"/>
      <c r="Q178" s="307"/>
      <c r="AM178" s="922" t="str">
        <f>Financeiros!C30</f>
        <v>Subvenção CDE</v>
      </c>
      <c r="AN178" s="1745">
        <f ca="1">Financeiros!D30</f>
        <v>-2548674.1739379396</v>
      </c>
      <c r="AO178" s="23">
        <f t="shared" ca="1" si="8"/>
        <v>1</v>
      </c>
      <c r="AP178" s="650"/>
    </row>
    <row r="179" spans="2:42" ht="15" customHeight="1">
      <c r="B179" s="46"/>
      <c r="C179" s="307"/>
      <c r="D179" s="307"/>
      <c r="P179" s="44"/>
      <c r="Q179" s="307"/>
      <c r="AM179" s="922" t="str">
        <f>Financeiros!C31</f>
        <v>Retenção de Adicionais de Bandeiras Tarifárias</v>
      </c>
      <c r="AN179" s="1745">
        <f>Financeiros!D31</f>
        <v>-255991.95877886674</v>
      </c>
      <c r="AO179" s="23">
        <f t="shared" si="8"/>
        <v>1</v>
      </c>
      <c r="AP179" s="650"/>
    </row>
    <row r="180" spans="2:42" ht="15" hidden="1" customHeight="1">
      <c r="B180" s="46"/>
      <c r="C180" s="307"/>
      <c r="D180" s="307"/>
      <c r="P180" s="44"/>
      <c r="Q180" s="307"/>
      <c r="AM180" s="922" t="str">
        <f>Financeiros!C32</f>
        <v>Multa LPT</v>
      </c>
      <c r="AN180" s="1745">
        <f>Financeiros!D32</f>
        <v>0</v>
      </c>
      <c r="AO180" s="1550">
        <f>IF(AN180=0,0,1)</f>
        <v>0</v>
      </c>
      <c r="AP180" s="1550"/>
    </row>
    <row r="181" spans="2:42" ht="15" hidden="1" customHeight="1">
      <c r="B181" s="46"/>
      <c r="C181" s="307"/>
      <c r="D181" s="307"/>
      <c r="P181" s="44"/>
      <c r="Q181" s="307"/>
      <c r="AM181" s="922" t="s">
        <v>2412</v>
      </c>
      <c r="AN181" s="1745">
        <f>Financeiros!D33+Financeiros!D34</f>
        <v>0</v>
      </c>
      <c r="AO181" s="23">
        <f t="shared" si="8"/>
        <v>0</v>
      </c>
      <c r="AP181" s="650"/>
    </row>
    <row r="182" spans="2:42" ht="15" hidden="1" customHeight="1">
      <c r="B182" s="46"/>
      <c r="C182" s="307"/>
      <c r="D182" s="307"/>
      <c r="P182" s="44"/>
      <c r="Q182" s="307"/>
      <c r="AM182" s="922"/>
      <c r="AN182" s="1745">
        <f>Financeiros!D34</f>
        <v>0</v>
      </c>
      <c r="AO182" s="23">
        <f t="shared" si="8"/>
        <v>0</v>
      </c>
      <c r="AP182" s="650"/>
    </row>
    <row r="183" spans="2:42" ht="15" hidden="1" customHeight="1">
      <c r="B183" s="46"/>
      <c r="C183" s="307"/>
      <c r="D183" s="307"/>
      <c r="P183" s="44"/>
      <c r="Q183" s="307"/>
      <c r="AM183" s="922" t="str">
        <f>Financeiros!C35</f>
        <v>Ressarcimento P&amp;D</v>
      </c>
      <c r="AN183" s="1745">
        <f>Financeiros!D35</f>
        <v>0</v>
      </c>
      <c r="AO183" s="23">
        <f t="shared" si="8"/>
        <v>0</v>
      </c>
      <c r="AP183" s="650"/>
    </row>
    <row r="184" spans="2:42" ht="15" hidden="1" customHeight="1">
      <c r="B184" s="46"/>
      <c r="C184" s="307"/>
      <c r="D184" s="307"/>
      <c r="P184" s="44"/>
      <c r="Q184" s="307"/>
      <c r="AM184" s="922" t="str">
        <f>Financeiros!C36</f>
        <v>Efeito Conta COVID</v>
      </c>
      <c r="AN184" s="1745">
        <f>Financeiros!D36</f>
        <v>0</v>
      </c>
      <c r="AO184" s="23">
        <f t="shared" ref="AO184:AO189" si="9">IF(AN184=0,0,1)</f>
        <v>0</v>
      </c>
      <c r="AP184" s="650"/>
    </row>
    <row r="185" spans="2:42" ht="15" hidden="1" customHeight="1">
      <c r="B185" s="46"/>
      <c r="C185" s="307"/>
      <c r="D185" s="307"/>
      <c r="P185" s="44"/>
      <c r="Q185" s="307"/>
      <c r="AM185" s="922" t="str">
        <f>Financeiros!C37</f>
        <v>Diferimento de Parcela B</v>
      </c>
      <c r="AN185" s="1745">
        <f>Financeiros!D37</f>
        <v>0</v>
      </c>
      <c r="AO185" s="23">
        <f t="shared" si="9"/>
        <v>0</v>
      </c>
      <c r="AP185" s="650"/>
    </row>
    <row r="186" spans="2:42" ht="15" hidden="1" customHeight="1">
      <c r="B186" s="46"/>
      <c r="C186" s="307"/>
      <c r="D186" s="307"/>
      <c r="P186" s="44"/>
      <c r="Q186" s="307"/>
      <c r="AM186" s="922" t="str">
        <f>Financeiros!C38</f>
        <v>Efeito COVID da Supridora</v>
      </c>
      <c r="AN186" s="1745">
        <f>Financeiros!D38</f>
        <v>0</v>
      </c>
      <c r="AO186" s="23">
        <f t="shared" si="9"/>
        <v>0</v>
      </c>
      <c r="AP186" s="650"/>
    </row>
    <row r="187" spans="2:42" ht="15" hidden="1" customHeight="1">
      <c r="B187" s="46"/>
      <c r="C187" s="307"/>
      <c r="D187" s="307"/>
      <c r="P187" s="44"/>
      <c r="Q187" s="307"/>
      <c r="AM187" s="922" t="str">
        <f>Financeiros!C39</f>
        <v>Crédito de Pis Cofins sobre ICMS</v>
      </c>
      <c r="AN187" s="1745">
        <f>Financeiros!D39</f>
        <v>0</v>
      </c>
      <c r="AO187" s="23">
        <f t="shared" si="9"/>
        <v>0</v>
      </c>
      <c r="AP187" s="650"/>
    </row>
    <row r="188" spans="2:42" ht="15" customHeight="1">
      <c r="B188" s="46"/>
      <c r="C188" s="307"/>
      <c r="D188" s="307"/>
      <c r="P188" s="44"/>
      <c r="Q188" s="307"/>
      <c r="AM188" s="922" t="s">
        <v>2421</v>
      </c>
      <c r="AN188" s="1745">
        <f ca="1">Financeiros!D40+Financeiros!D41</f>
        <v>-344859.5195844142</v>
      </c>
      <c r="AO188" s="23">
        <f t="shared" ca="1" si="9"/>
        <v>1</v>
      </c>
      <c r="AP188" s="913"/>
    </row>
    <row r="189" spans="2:42" ht="15" hidden="1" customHeight="1">
      <c r="B189" s="46"/>
      <c r="C189" s="307"/>
      <c r="D189" s="307"/>
      <c r="P189" s="44"/>
      <c r="Q189" s="307"/>
      <c r="AM189" s="922"/>
      <c r="AN189" s="1745"/>
      <c r="AO189" s="23">
        <f t="shared" si="9"/>
        <v>0</v>
      </c>
      <c r="AP189" s="913"/>
    </row>
    <row r="190" spans="2:42" ht="15" hidden="1" customHeight="1">
      <c r="B190" s="46"/>
      <c r="C190" s="307"/>
      <c r="D190" s="307"/>
      <c r="P190" s="44"/>
      <c r="Q190" s="307"/>
      <c r="AM190" s="922" t="str">
        <f>Financeiros!C42</f>
        <v>Financeiros associados ao §7º do Art. 88 da Ren 414/2021</v>
      </c>
      <c r="AN190" s="1745">
        <f>Financeiros!D42</f>
        <v>0</v>
      </c>
      <c r="AO190" s="23">
        <f t="shared" si="8"/>
        <v>0</v>
      </c>
      <c r="AP190" s="650"/>
    </row>
    <row r="191" spans="2:42" ht="15" hidden="1" customHeight="1">
      <c r="B191" s="46"/>
      <c r="C191" s="307"/>
      <c r="D191" s="307"/>
      <c r="P191" s="44"/>
      <c r="Q191" s="307"/>
      <c r="AM191" s="922" t="str">
        <f>Financeiros!C43</f>
        <v>Spread Conta Covid</v>
      </c>
      <c r="AN191" s="1745">
        <f>Financeiros!D43</f>
        <v>0</v>
      </c>
      <c r="AO191" s="23">
        <f t="shared" si="8"/>
        <v>0</v>
      </c>
      <c r="AP191" s="650"/>
    </row>
    <row r="192" spans="2:42" ht="15" hidden="1" customHeight="1">
      <c r="B192" s="46"/>
      <c r="C192" s="307"/>
      <c r="D192" s="307"/>
      <c r="P192" s="44"/>
      <c r="Q192" s="307"/>
      <c r="AM192" s="922" t="str">
        <f>Financeiros!C44</f>
        <v xml:space="preserve">Diferimento de Energia </v>
      </c>
      <c r="AN192" s="1745">
        <f>Financeiros!D44</f>
        <v>0</v>
      </c>
      <c r="AO192" s="23">
        <f>IF(AN192=0,0,1)</f>
        <v>0</v>
      </c>
      <c r="AP192" s="650"/>
    </row>
    <row r="193" spans="2:42" ht="15" hidden="1" customHeight="1">
      <c r="B193" s="46"/>
      <c r="C193" s="307"/>
      <c r="D193" s="307"/>
      <c r="P193" s="44"/>
      <c r="Q193" s="307"/>
      <c r="AM193" s="922" t="str">
        <f>Financeiros!C45</f>
        <v xml:space="preserve">Reversão do Diferimento de Compra de Energia </v>
      </c>
      <c r="AN193" s="1745">
        <f>Financeiros!D45</f>
        <v>0</v>
      </c>
      <c r="AO193" s="23">
        <f t="shared" ref="AO193:AO195" si="10">IF(AN193=0,0,1)</f>
        <v>0</v>
      </c>
      <c r="AP193" s="650"/>
    </row>
    <row r="194" spans="2:42" ht="15" hidden="1" customHeight="1">
      <c r="B194" s="46"/>
      <c r="C194" s="307"/>
      <c r="D194" s="307"/>
      <c r="P194" s="44"/>
      <c r="Q194" s="307"/>
      <c r="AM194" s="922" t="str">
        <f>Financeiros!C46</f>
        <v>Reversão do Diferimento de Parcela B</v>
      </c>
      <c r="AN194" s="1745">
        <f>Financeiros!D46</f>
        <v>0</v>
      </c>
      <c r="AO194" s="23">
        <f t="shared" si="10"/>
        <v>0</v>
      </c>
      <c r="AP194" s="650"/>
    </row>
    <row r="195" spans="2:42" ht="15" customHeight="1">
      <c r="B195" s="46"/>
      <c r="C195" s="307"/>
      <c r="D195" s="307"/>
      <c r="P195" s="44"/>
      <c r="Q195" s="307"/>
      <c r="AM195" s="922" t="s">
        <v>2417</v>
      </c>
      <c r="AN195" s="1745">
        <f>Financeiros!D47+Financeiros!D48</f>
        <v>402071.05509059655</v>
      </c>
      <c r="AO195" s="23">
        <f t="shared" si="10"/>
        <v>1</v>
      </c>
      <c r="AP195" s="650"/>
    </row>
    <row r="196" spans="2:42" ht="15" hidden="1" customHeight="1">
      <c r="B196" s="46"/>
      <c r="C196" s="307"/>
      <c r="D196" s="307"/>
      <c r="P196" s="44"/>
      <c r="Q196" s="307"/>
      <c r="AM196" s="922"/>
      <c r="AN196" s="1745">
        <v>0</v>
      </c>
      <c r="AO196" s="650">
        <f>IF(AN196=0,0,1)</f>
        <v>0</v>
      </c>
      <c r="AP196" s="650"/>
    </row>
    <row r="197" spans="2:42" ht="15" hidden="1" customHeight="1">
      <c r="B197" s="46"/>
      <c r="C197" s="307"/>
      <c r="D197" s="307"/>
      <c r="P197" s="44"/>
      <c r="Q197" s="307"/>
      <c r="AM197" s="922" t="s">
        <v>2306</v>
      </c>
      <c r="AN197" s="1745">
        <f ca="1">SUM(Financeiros!D58:D62)</f>
        <v>0</v>
      </c>
      <c r="AO197" s="23">
        <f ca="1">IF(AN197=0,0,1)</f>
        <v>0</v>
      </c>
      <c r="AP197" s="650"/>
    </row>
    <row r="198" spans="2:42" ht="15" hidden="1" customHeight="1">
      <c r="B198" s="46"/>
      <c r="C198" s="307"/>
      <c r="D198" s="307"/>
      <c r="P198" s="44"/>
      <c r="Q198" s="307"/>
      <c r="AM198" s="922" t="s">
        <v>2307</v>
      </c>
      <c r="AN198" s="1745">
        <f>Financeiros!D65</f>
        <v>0</v>
      </c>
      <c r="AO198" s="23">
        <f>IF(AN198=0,0,1)</f>
        <v>0</v>
      </c>
      <c r="AP198" s="650"/>
    </row>
    <row r="199" spans="2:42" ht="15" hidden="1" customHeight="1">
      <c r="B199" s="46"/>
      <c r="C199" s="307"/>
      <c r="D199" s="307"/>
      <c r="P199" s="44"/>
      <c r="Q199" s="307"/>
      <c r="AM199" s="922" t="s">
        <v>2056</v>
      </c>
      <c r="AN199" s="1745">
        <f ca="1">SUM(Financeiros!D66:D76)</f>
        <v>0</v>
      </c>
      <c r="AO199" s="650">
        <f t="shared" ref="AO199:AO206" ca="1" si="11">IF(AN199=0,0,1)</f>
        <v>0</v>
      </c>
      <c r="AP199" s="650"/>
    </row>
    <row r="200" spans="2:42" ht="15" hidden="1" customHeight="1">
      <c r="B200" s="46"/>
      <c r="C200" s="307"/>
      <c r="D200" s="307"/>
      <c r="P200" s="44"/>
      <c r="Q200" s="307"/>
      <c r="AM200" s="922"/>
      <c r="AN200" s="1745"/>
      <c r="AO200" s="650">
        <f t="shared" si="11"/>
        <v>0</v>
      </c>
      <c r="AP200" s="650"/>
    </row>
    <row r="201" spans="2:42" ht="15" hidden="1" customHeight="1">
      <c r="B201" s="46"/>
      <c r="C201" s="307"/>
      <c r="D201" s="307"/>
      <c r="P201" s="44"/>
      <c r="Q201" s="307"/>
      <c r="AM201" s="922"/>
      <c r="AN201" s="1745"/>
      <c r="AO201" s="650">
        <f t="shared" si="11"/>
        <v>0</v>
      </c>
      <c r="AP201" s="650"/>
    </row>
    <row r="202" spans="2:42" ht="15" hidden="1" customHeight="1">
      <c r="B202" s="46"/>
      <c r="C202" s="307"/>
      <c r="D202" s="307"/>
      <c r="P202" s="44"/>
      <c r="Q202" s="307"/>
      <c r="AM202" s="922" t="s">
        <v>2309</v>
      </c>
      <c r="AN202" s="1745">
        <f ca="1">SUM(Financeiros!D77:D81)</f>
        <v>0</v>
      </c>
      <c r="AO202" s="650">
        <f ca="1">IF(AN202=0,0,1)</f>
        <v>0</v>
      </c>
      <c r="AP202" s="650"/>
    </row>
    <row r="203" spans="2:42" ht="15" hidden="1" customHeight="1">
      <c r="B203" s="46"/>
      <c r="C203" s="307"/>
      <c r="D203" s="307"/>
      <c r="P203" s="44"/>
      <c r="Q203" s="307"/>
      <c r="AM203" s="922" t="s">
        <v>1303</v>
      </c>
      <c r="AN203" s="1745">
        <f ca="1">SUM(Financeiros!D82:D86)</f>
        <v>0</v>
      </c>
      <c r="AO203" s="650">
        <f ca="1">IF(AN203=0,0,1)</f>
        <v>0</v>
      </c>
      <c r="AP203" s="650"/>
    </row>
    <row r="204" spans="2:42" ht="15" hidden="1" customHeight="1">
      <c r="B204" s="46"/>
      <c r="C204" s="307"/>
      <c r="D204" s="307"/>
      <c r="P204" s="44"/>
      <c r="Q204" s="307"/>
      <c r="AM204" s="922" t="s">
        <v>2308</v>
      </c>
      <c r="AN204" s="1745">
        <f ca="1">SUM(Financeiros!D87:D91)</f>
        <v>0</v>
      </c>
      <c r="AO204" s="650">
        <f t="shared" ca="1" si="11"/>
        <v>0</v>
      </c>
      <c r="AP204" s="650"/>
    </row>
    <row r="205" spans="2:42" ht="15" hidden="1" customHeight="1">
      <c r="B205" s="46"/>
      <c r="C205" s="307"/>
      <c r="D205" s="307"/>
      <c r="P205" s="44"/>
      <c r="Q205" s="307"/>
      <c r="AM205" s="922" t="s">
        <v>2428</v>
      </c>
      <c r="AN205" s="1745">
        <f>Financeiros!D92+Financeiros!D93+Financeiros!D94+Financeiros!D95+Financeiros!D96</f>
        <v>0</v>
      </c>
      <c r="AO205" s="650">
        <f t="shared" si="11"/>
        <v>0</v>
      </c>
      <c r="AP205" s="650"/>
    </row>
    <row r="206" spans="2:42" ht="15" customHeight="1">
      <c r="B206" s="46"/>
      <c r="C206" s="307"/>
      <c r="D206" s="307"/>
      <c r="P206" s="44"/>
      <c r="Q206" s="307"/>
      <c r="AM206" s="922" t="s">
        <v>2429</v>
      </c>
      <c r="AN206" s="1745">
        <f>Financeiros!D97</f>
        <v>-402000</v>
      </c>
      <c r="AO206" s="650">
        <f t="shared" si="11"/>
        <v>1</v>
      </c>
      <c r="AP206" s="650"/>
    </row>
    <row r="207" spans="2:42" ht="15" hidden="1" customHeight="1">
      <c r="B207" s="46"/>
      <c r="C207" s="307"/>
      <c r="D207" s="307"/>
      <c r="P207" s="44"/>
      <c r="Q207" s="307"/>
      <c r="AM207" s="922"/>
      <c r="AN207" s="1745"/>
      <c r="AO207" s="23">
        <f t="shared" si="8"/>
        <v>0</v>
      </c>
      <c r="AP207" s="650"/>
    </row>
    <row r="208" spans="2:42" ht="15" customHeight="1">
      <c r="B208" s="46"/>
      <c r="C208" s="307"/>
      <c r="D208" s="307"/>
      <c r="P208" s="44"/>
      <c r="Q208" s="307"/>
      <c r="AM208" s="1709" t="s">
        <v>725</v>
      </c>
      <c r="AN208" s="1114">
        <f ca="1">SUM(AN167:AN207)</f>
        <v>-2840168.9854412354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  <c r="AN210" s="23">
        <f ca="1">Financeiros!D7</f>
        <v>-2840168.9854412354</v>
      </c>
    </row>
    <row r="211" spans="2:54" ht="15" customHeight="1">
      <c r="B211" s="46"/>
      <c r="C211" s="307"/>
      <c r="D211" s="307"/>
      <c r="P211" s="44"/>
      <c r="Q211" s="307"/>
      <c r="AM211" s="53"/>
      <c r="AN211" s="339">
        <f ca="1">AN208-AN210</f>
        <v>0</v>
      </c>
      <c r="AP211" s="1091" t="s">
        <v>820</v>
      </c>
      <c r="AQ211" s="303" t="s">
        <v>771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79" t="s">
        <v>821</v>
      </c>
      <c r="AQ212" s="1061" t="s">
        <v>822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823</v>
      </c>
      <c r="AQ213" s="228">
        <f>LnkTXTEfeitoAT</f>
        <v>8.434010763464217E-2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824</v>
      </c>
      <c r="AQ214" s="228">
        <f>LnkTXTEfeitoBT</f>
        <v>8.8395169899283976E-2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6" t="s">
        <v>825</v>
      </c>
      <c r="AQ215" s="1072">
        <f>LnkTXTEfeito</f>
        <v>8.6014610421965454E-2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1" t="s">
        <v>826</v>
      </c>
      <c r="AT217" s="30"/>
      <c r="AU217" s="30"/>
      <c r="AV217" s="30"/>
      <c r="AW217" s="30"/>
      <c r="AX217" s="303" t="s">
        <v>771</v>
      </c>
    </row>
    <row r="218" spans="2:54" ht="39" customHeight="1" thickBot="1">
      <c r="B218" s="54"/>
      <c r="C218" s="317"/>
      <c r="D218" s="54"/>
      <c r="AS218" s="915" t="s">
        <v>827</v>
      </c>
      <c r="AT218" s="915" t="s">
        <v>791</v>
      </c>
      <c r="AU218" s="915" t="s">
        <v>828</v>
      </c>
      <c r="AV218" s="915" t="s">
        <v>829</v>
      </c>
      <c r="AW218" s="915" t="s">
        <v>830</v>
      </c>
      <c r="AX218" s="915" t="s">
        <v>831</v>
      </c>
      <c r="AY218" s="318" t="s">
        <v>780</v>
      </c>
      <c r="BB218" s="403"/>
    </row>
    <row r="219" spans="2:54" ht="15" customHeight="1" thickTop="1">
      <c r="B219" s="54"/>
      <c r="C219" s="317"/>
      <c r="D219" s="54"/>
      <c r="AS219" s="1093" t="s">
        <v>832</v>
      </c>
      <c r="AT219" s="1094">
        <f ca="1">SUM(AT220:AT229)</f>
        <v>2915195.5257980474</v>
      </c>
      <c r="AU219" s="1094">
        <f ca="1">SUM(AU220:AU229)</f>
        <v>4236489.6192647424</v>
      </c>
      <c r="AV219" s="1095">
        <f ca="1">IF(AU219=0,0,ROUND(AU219/AT219-1,4))</f>
        <v>0.45319999999999999</v>
      </c>
      <c r="AW219" s="1095">
        <f ca="1">SUM(AW220:AW229)</f>
        <v>4.778423514594396E-2</v>
      </c>
      <c r="AX219" s="1095">
        <f t="shared" ref="AX219:AX227" ca="1" si="12">AU219/$AU$237</f>
        <v>0.14293392693466117</v>
      </c>
      <c r="AY219" s="318">
        <v>1</v>
      </c>
    </row>
    <row r="220" spans="2:54" ht="15" hidden="1" customHeight="1">
      <c r="AS220" s="916" t="str">
        <f t="shared" ref="AS220:AT223" si="13">I75</f>
        <v>Reserva Global de Reversão – RGR</v>
      </c>
      <c r="AT220" s="917">
        <f t="shared" si="13"/>
        <v>0</v>
      </c>
      <c r="AU220" s="917">
        <f>Resultado!D15</f>
        <v>0</v>
      </c>
      <c r="AV220" s="918">
        <f t="shared" ref="AV220:AV235" si="14">IF(AU220=0,0,ROUND(AU220/AT220-1,3))</f>
        <v>0</v>
      </c>
      <c r="AW220" s="918">
        <f ca="1">(AU220-AT220)/$AT$237</f>
        <v>0</v>
      </c>
      <c r="AX220" s="918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6" t="str">
        <f t="shared" si="13"/>
        <v>Conta de Consumo de Combustíveis – CCC</v>
      </c>
      <c r="AT221" s="917">
        <f t="shared" si="13"/>
        <v>0</v>
      </c>
      <c r="AU221" s="917">
        <f>Resultado!D16</f>
        <v>0</v>
      </c>
      <c r="AV221" s="918">
        <f t="shared" si="14"/>
        <v>0</v>
      </c>
      <c r="AW221" s="918">
        <f ca="1">(AU221-AT221)/$AT$237</f>
        <v>0</v>
      </c>
      <c r="AX221" s="918">
        <f t="shared" ca="1" si="12"/>
        <v>0</v>
      </c>
      <c r="AY221" s="318">
        <f t="shared" ref="AY221:AY287" ca="1" si="15">IF(AW221=0,0,1)</f>
        <v>0</v>
      </c>
    </row>
    <row r="222" spans="2:54" ht="15" customHeight="1">
      <c r="B222" s="29"/>
      <c r="C222" s="39"/>
      <c r="H222" s="23"/>
      <c r="AS222" s="916" t="str">
        <f t="shared" si="13"/>
        <v>Taxa de Fisc. de Serviços de E.E. – TFSEE</v>
      </c>
      <c r="AT222" s="917">
        <f t="shared" ca="1" si="13"/>
        <v>56252.212149718573</v>
      </c>
      <c r="AU222" s="917">
        <f ca="1">Resultado!D17</f>
        <v>60318.578824742086</v>
      </c>
      <c r="AV222" s="918">
        <f ca="1">IF(AU222=0,0,ROUND(AU222/AT222-1,4))</f>
        <v>7.2300000000000003E-2</v>
      </c>
      <c r="AW222" s="918">
        <f ca="1">(AU222-AT222)/$AT$237</f>
        <v>1.4705902520092639E-4</v>
      </c>
      <c r="AX222" s="918">
        <f t="shared" ca="1" si="12"/>
        <v>2.0350743453573222E-3</v>
      </c>
      <c r="AY222" s="318">
        <f t="shared" ca="1" si="15"/>
        <v>1</v>
      </c>
    </row>
    <row r="223" spans="2:54" ht="15" customHeight="1">
      <c r="C223" s="28"/>
      <c r="H223" s="23"/>
      <c r="AS223" s="916" t="str">
        <f t="shared" si="13"/>
        <v>Conta de Desenvolvimento Energético – CDE</v>
      </c>
      <c r="AT223" s="917">
        <f t="shared" ca="1" si="13"/>
        <v>2444593.6090302705</v>
      </c>
      <c r="AU223" s="917">
        <f ca="1">Resultado!D18-Encargos!I20-Encargos!I21</f>
        <v>3547574.1107399999</v>
      </c>
      <c r="AV223" s="918">
        <f t="shared" ref="AV223" ca="1" si="16">IF(AU223=0,0,ROUND(AU223/AT223-1,4))</f>
        <v>0.45119999999999999</v>
      </c>
      <c r="AW223" s="918">
        <f ca="1">(AU223-AT223)/$AT$237</f>
        <v>3.9888984530919998E-2</v>
      </c>
      <c r="AX223" s="918">
        <f t="shared" ca="1" si="12"/>
        <v>0.11969076861040683</v>
      </c>
      <c r="AY223" s="318">
        <f t="shared" ca="1" si="15"/>
        <v>1</v>
      </c>
    </row>
    <row r="224" spans="2:54" ht="15" hidden="1" customHeight="1">
      <c r="C224" s="28"/>
      <c r="H224" s="23"/>
      <c r="AS224" s="916" t="s">
        <v>833</v>
      </c>
      <c r="AT224" s="917">
        <f ca="1">J79</f>
        <v>0</v>
      </c>
      <c r="AU224" s="917">
        <f>Encargos!I20</f>
        <v>0</v>
      </c>
      <c r="AV224" s="918">
        <f>IFERROR(IF(AU224=0,0,ROUND(AU224/AT224-1,4)),0)</f>
        <v>0</v>
      </c>
      <c r="AW224" s="918">
        <f ca="1">(AU224-AT224)/$AT$237</f>
        <v>0</v>
      </c>
      <c r="AX224" s="918">
        <f t="shared" ca="1" si="12"/>
        <v>0</v>
      </c>
      <c r="AY224" s="318">
        <f t="shared" ca="1" si="15"/>
        <v>0</v>
      </c>
    </row>
    <row r="225" spans="2:53" ht="15" hidden="1" customHeight="1">
      <c r="C225" s="28"/>
      <c r="H225" s="23"/>
      <c r="AS225" s="916" t="s">
        <v>2069</v>
      </c>
      <c r="AT225" s="917"/>
      <c r="AU225" s="917">
        <f>Encargos!I21</f>
        <v>0</v>
      </c>
      <c r="AV225" s="918">
        <f t="shared" ref="AV225:AV226" si="17">IFERROR(IF(AU225=0,0,ROUND(AU225/AT225-1,4)),0)</f>
        <v>0</v>
      </c>
      <c r="AW225" s="918">
        <f t="shared" ref="AW225:AW226" ca="1" si="18">(AU225-AT225)/$AT$237</f>
        <v>0</v>
      </c>
      <c r="AX225" s="918">
        <f t="shared" ca="1" si="12"/>
        <v>0</v>
      </c>
      <c r="AY225" s="912">
        <f ca="1">IF(AW225=0,0,1)</f>
        <v>0</v>
      </c>
    </row>
    <row r="226" spans="2:53" ht="12.75" hidden="1">
      <c r="C226" s="28"/>
      <c r="H226" s="23"/>
      <c r="AS226" s="916" t="str">
        <f t="shared" ref="AS226:AT229" si="19">I81</f>
        <v>Encargos Serv. Sist. - ESS e Energ. Reserv. – EER</v>
      </c>
      <c r="AT226" s="917">
        <f t="shared" ca="1" si="19"/>
        <v>0</v>
      </c>
      <c r="AU226" s="917">
        <f>Resultado!D20</f>
        <v>0</v>
      </c>
      <c r="AV226" s="918">
        <f t="shared" si="17"/>
        <v>0</v>
      </c>
      <c r="AW226" s="918">
        <f t="shared" ca="1" si="18"/>
        <v>0</v>
      </c>
      <c r="AX226" s="918">
        <f t="shared" ca="1" si="12"/>
        <v>0</v>
      </c>
      <c r="AY226" s="318">
        <f ca="1">IF(AW226=0,0,1)</f>
        <v>0</v>
      </c>
    </row>
    <row r="227" spans="2:53" ht="15" customHeight="1">
      <c r="C227" s="28"/>
      <c r="H227" s="23"/>
      <c r="AS227" s="916" t="str">
        <f t="shared" si="19"/>
        <v>PROINFA</v>
      </c>
      <c r="AT227" s="917">
        <f t="shared" ca="1" si="19"/>
        <v>414349.70461805823</v>
      </c>
      <c r="AU227" s="917">
        <f ca="1">Resultado!D21</f>
        <v>628596.9297000001</v>
      </c>
      <c r="AV227" s="918">
        <f ca="1">IF(AU227=0,0,ROUND(AU227/AT227-1,4))</f>
        <v>0.5171</v>
      </c>
      <c r="AW227" s="918">
        <f ca="1">(AU227-AT227)/$AT$237</f>
        <v>7.7481915898230331E-3</v>
      </c>
      <c r="AX227" s="918">
        <f t="shared" ca="1" si="12"/>
        <v>2.1208083978897032E-2</v>
      </c>
      <c r="AY227" s="318">
        <f t="shared" ca="1" si="15"/>
        <v>1</v>
      </c>
    </row>
    <row r="228" spans="2:53" ht="15" hidden="1" customHeight="1">
      <c r="B228" s="29"/>
      <c r="C228" s="39"/>
      <c r="H228" s="23"/>
      <c r="AS228" s="916" t="str">
        <f t="shared" si="19"/>
        <v>P&amp;D e Eficiência Energética</v>
      </c>
      <c r="AT228" s="917">
        <f t="shared" ca="1" si="19"/>
        <v>0</v>
      </c>
      <c r="AU228" s="917">
        <f>Resultado!D22</f>
        <v>0</v>
      </c>
      <c r="AV228" s="918">
        <f>IF(AU228=0,0,ROUND(AU228/AT228-1,4))</f>
        <v>0</v>
      </c>
      <c r="AW228" s="918">
        <f ca="1">(AU228-AT228)/$AT$237</f>
        <v>0</v>
      </c>
      <c r="AX228" s="918">
        <f t="shared" ref="AX228:AX239" ca="1" si="20">AU228/$AU$237</f>
        <v>0</v>
      </c>
      <c r="AY228" s="318">
        <v>0</v>
      </c>
    </row>
    <row r="229" spans="2:53" ht="15" hidden="1" customHeight="1">
      <c r="C229" s="340"/>
      <c r="H229" s="23"/>
      <c r="AS229" s="916" t="str">
        <f t="shared" si="19"/>
        <v>ONS</v>
      </c>
      <c r="AT229" s="917">
        <f t="shared" ca="1" si="19"/>
        <v>0</v>
      </c>
      <c r="AU229" s="917">
        <f>Resultado!D23</f>
        <v>0</v>
      </c>
      <c r="AV229" s="918">
        <f t="shared" si="14"/>
        <v>0</v>
      </c>
      <c r="AW229" s="918">
        <f ca="1">(AU229-AT229)/$AT$237</f>
        <v>0</v>
      </c>
      <c r="AX229" s="918">
        <f t="shared" ca="1" si="20"/>
        <v>0</v>
      </c>
      <c r="AY229" s="318">
        <v>0</v>
      </c>
    </row>
    <row r="230" spans="2:53" ht="15" customHeight="1">
      <c r="C230" s="307"/>
      <c r="H230" s="23"/>
      <c r="AS230" s="1093" t="s">
        <v>834</v>
      </c>
      <c r="AT230" s="1094">
        <f ca="1">AT231</f>
        <v>5845886.3369916435</v>
      </c>
      <c r="AU230" s="1094">
        <f ca="1">AU231</f>
        <v>6177301.1752223326</v>
      </c>
      <c r="AV230" s="1095">
        <f ca="1">IF(AU230=0,0,ROUND(AU230/AT230-1,4))</f>
        <v>5.67E-2</v>
      </c>
      <c r="AW230" s="1095">
        <f ca="1">AW231</f>
        <v>1.198552588645883E-2</v>
      </c>
      <c r="AX230" s="1095">
        <f t="shared" ca="1" si="20"/>
        <v>0.20841451158467938</v>
      </c>
      <c r="AY230" s="318">
        <f t="shared" ca="1" si="15"/>
        <v>1</v>
      </c>
    </row>
    <row r="231" spans="2:53" ht="15" customHeight="1">
      <c r="C231" s="307"/>
      <c r="H231" s="23"/>
      <c r="AS231" s="916" t="s">
        <v>794</v>
      </c>
      <c r="AT231" s="917">
        <f ca="1">J86</f>
        <v>5845886.3369916435</v>
      </c>
      <c r="AU231" s="917">
        <f ca="1">Resultado!D33</f>
        <v>6177301.1752223326</v>
      </c>
      <c r="AV231" s="918">
        <f ca="1">IF(AU231=0,0,ROUND(AU231/AT231-1,4))</f>
        <v>5.67E-2</v>
      </c>
      <c r="AW231" s="918">
        <f ca="1">(AU231-AT231)/$AT$237</f>
        <v>1.198552588645883E-2</v>
      </c>
      <c r="AX231" s="918">
        <f t="shared" ca="1" si="20"/>
        <v>0.20841451158467938</v>
      </c>
      <c r="AY231" s="318">
        <f t="shared" ca="1" si="15"/>
        <v>1</v>
      </c>
    </row>
    <row r="232" spans="2:53" ht="15" customHeight="1">
      <c r="AS232" s="1093" t="s">
        <v>835</v>
      </c>
      <c r="AT232" s="1094">
        <f ca="1">SUM(AT233:AT236)</f>
        <v>4795992.6437891256</v>
      </c>
      <c r="AU232" s="1094">
        <f>SUM(AU233:AU236)</f>
        <v>4882651.6637400007</v>
      </c>
      <c r="AV232" s="1095">
        <f ca="1">IF(AU232=0,0,ROUND(AU232/AT232-1,4))</f>
        <v>1.8100000000000002E-2</v>
      </c>
      <c r="AW232" s="1095">
        <f ca="1">SUM(AW233:AW236)</f>
        <v>3.1339994686459577E-3</v>
      </c>
      <c r="AX232" s="1095">
        <f t="shared" ca="1" si="20"/>
        <v>0.16473463619002979</v>
      </c>
      <c r="AY232" s="318">
        <f t="shared" ca="1" si="15"/>
        <v>1</v>
      </c>
    </row>
    <row r="233" spans="2:53" ht="15" hidden="1" customHeight="1">
      <c r="AS233" s="916" t="str">
        <f>Resultado!B25</f>
        <v>Rede Básica</v>
      </c>
      <c r="AT233" s="917">
        <f ca="1">J88</f>
        <v>0</v>
      </c>
      <c r="AU233" s="917">
        <f>Resultado!D25</f>
        <v>0</v>
      </c>
      <c r="AV233" s="918">
        <f>IF(AU233=0,0,ROUND(AU233/AT233-1,3))</f>
        <v>0</v>
      </c>
      <c r="AW233" s="918">
        <f ca="1">(AU233-AT233)/$AT$237</f>
        <v>0</v>
      </c>
      <c r="AX233" s="918">
        <f t="shared" ca="1" si="20"/>
        <v>0</v>
      </c>
      <c r="AY233" s="318">
        <f t="shared" ca="1" si="15"/>
        <v>0</v>
      </c>
    </row>
    <row r="234" spans="2:53" ht="15" hidden="1" customHeight="1">
      <c r="AS234" s="916" t="str">
        <f>Resultado!B26</f>
        <v>Rede Básica Fronteira</v>
      </c>
      <c r="AT234" s="917">
        <f ca="1">J89</f>
        <v>0</v>
      </c>
      <c r="AU234" s="917">
        <f>Resultado!D26</f>
        <v>0</v>
      </c>
      <c r="AV234" s="918">
        <f t="shared" si="14"/>
        <v>0</v>
      </c>
      <c r="AW234" s="918">
        <f ca="1">(AU234-AT234)/$AT$237</f>
        <v>0</v>
      </c>
      <c r="AX234" s="918">
        <f t="shared" ca="1" si="20"/>
        <v>0</v>
      </c>
      <c r="AY234" s="318">
        <f t="shared" ca="1" si="15"/>
        <v>0</v>
      </c>
    </row>
    <row r="235" spans="2:53" ht="15" hidden="1" customHeight="1">
      <c r="H235" s="23"/>
      <c r="AS235" s="916" t="str">
        <f>Resultado!B31</f>
        <v>Conexão</v>
      </c>
      <c r="AT235" s="917">
        <f ca="1">J94</f>
        <v>0</v>
      </c>
      <c r="AU235" s="917">
        <f>Resultado!D31</f>
        <v>0</v>
      </c>
      <c r="AV235" s="918">
        <f t="shared" si="14"/>
        <v>0</v>
      </c>
      <c r="AW235" s="918">
        <f ca="1">(AU235-AT235)/$AT$237</f>
        <v>0</v>
      </c>
      <c r="AX235" s="918">
        <f t="shared" ca="1" si="20"/>
        <v>0</v>
      </c>
      <c r="AY235" s="318">
        <f t="shared" ca="1" si="15"/>
        <v>0</v>
      </c>
    </row>
    <row r="236" spans="2:53" ht="15" customHeight="1">
      <c r="H236" s="23"/>
      <c r="AS236" s="916" t="str">
        <f>Resultado!B32</f>
        <v>Uso do sistema de distribuição</v>
      </c>
      <c r="AT236" s="917">
        <f ca="1">J95</f>
        <v>4795992.6437891256</v>
      </c>
      <c r="AU236" s="917">
        <f>Resultado!D32</f>
        <v>4882651.6637400007</v>
      </c>
      <c r="AV236" s="918">
        <f ca="1">IF(AU236=0,0,ROUND(AU236/AT236-1,4))</f>
        <v>1.8100000000000002E-2</v>
      </c>
      <c r="AW236" s="918">
        <f ca="1">(AU236-AT236)/$AT$237</f>
        <v>3.1339994686459577E-3</v>
      </c>
      <c r="AX236" s="918">
        <f t="shared" ca="1" si="20"/>
        <v>0.16473463619002979</v>
      </c>
      <c r="AY236" s="318">
        <f t="shared" ca="1" si="15"/>
        <v>1</v>
      </c>
    </row>
    <row r="237" spans="2:53" ht="15" hidden="1" customHeight="1">
      <c r="C237" s="19"/>
      <c r="AS237" s="1093" t="s">
        <v>836</v>
      </c>
      <c r="AT237" s="1094">
        <f ca="1">Mercado_RA0_Reais</f>
        <v>27651255.470160004</v>
      </c>
      <c r="AU237" s="1094">
        <f ca="1">AU219+AU230+AU232+AU239</f>
        <v>29639496.445104681</v>
      </c>
      <c r="AV237" s="1096"/>
      <c r="AW237" s="1096"/>
      <c r="AX237" s="1095">
        <f t="shared" ca="1" si="20"/>
        <v>1</v>
      </c>
      <c r="AY237" s="318">
        <f t="shared" si="15"/>
        <v>0</v>
      </c>
    </row>
    <row r="238" spans="2:53" ht="15" customHeight="1">
      <c r="C238" s="19"/>
      <c r="AS238" s="1097" t="s">
        <v>837</v>
      </c>
      <c r="AT238" s="1098">
        <f ca="1">AT219+AT230+AT232</f>
        <v>13557074.506578816</v>
      </c>
      <c r="AU238" s="1098">
        <f ca="1">AU219+AU230+AU232</f>
        <v>15296442.458227076</v>
      </c>
      <c r="AV238" s="1099">
        <f ca="1">IF(AU238=0,0,ROUND(AU238/AT238-1,4))</f>
        <v>0.1283</v>
      </c>
      <c r="AW238" s="1099">
        <f ca="1">(AU238-AT238)/AT237</f>
        <v>6.2903760501048775E-2</v>
      </c>
      <c r="AX238" s="1099">
        <f t="shared" ca="1" si="20"/>
        <v>0.51608307470937032</v>
      </c>
      <c r="AY238" s="318">
        <f t="shared" ca="1" si="15"/>
        <v>1</v>
      </c>
      <c r="BA238" s="23">
        <f ca="1">Resultado!D34</f>
        <v>15296442.458227076</v>
      </c>
    </row>
    <row r="239" spans="2:53" ht="15" customHeight="1">
      <c r="B239" s="28"/>
      <c r="C239" s="19"/>
      <c r="AS239" s="1097" t="s">
        <v>838</v>
      </c>
      <c r="AT239" s="1098">
        <f ca="1">AT237-AT238</f>
        <v>14094180.963581188</v>
      </c>
      <c r="AU239" s="1098">
        <f>Resultado!D39</f>
        <v>14343053.986877607</v>
      </c>
      <c r="AV239" s="1099">
        <f ca="1">IF(AU239=0,0,ROUND(AU239/AT239-1,4))</f>
        <v>1.77E-2</v>
      </c>
      <c r="AW239" s="1099">
        <f ca="1">(AU239-AT239)/AT237</f>
        <v>9.0004239975646737E-3</v>
      </c>
      <c r="AX239" s="1099">
        <f t="shared" ca="1" si="20"/>
        <v>0.48391692529062974</v>
      </c>
      <c r="AY239" s="318">
        <f t="shared" ca="1" si="15"/>
        <v>1</v>
      </c>
      <c r="BA239" s="23">
        <f>LnkTXTIParcelaBcomSub</f>
        <v>14343053.986877607</v>
      </c>
    </row>
    <row r="240" spans="2:53" ht="15" customHeight="1">
      <c r="AS240" s="1100" t="str">
        <f>Resultado!B7</f>
        <v>Variação econômica</v>
      </c>
      <c r="AT240" s="1100"/>
      <c r="AU240" s="1100"/>
      <c r="AV240" s="1101"/>
      <c r="AW240" s="1102">
        <f ca="1">ROUND((AU239+AU238)/(AT238+AT239)-1,4)</f>
        <v>7.1900000000000006E-2</v>
      </c>
      <c r="AX240" s="1101"/>
      <c r="AY240" s="318">
        <v>1</v>
      </c>
    </row>
    <row r="241" spans="2:51" ht="15" hidden="1" customHeight="1">
      <c r="AS241" s="919"/>
      <c r="AT241" s="919"/>
      <c r="AU241" s="919"/>
      <c r="AV241" s="920"/>
      <c r="AW241" s="921"/>
      <c r="AX241" s="921"/>
      <c r="AY241" s="318">
        <f t="shared" si="15"/>
        <v>0</v>
      </c>
    </row>
    <row r="242" spans="2:51" ht="15" customHeight="1">
      <c r="AS242" s="1093" t="s">
        <v>839</v>
      </c>
      <c r="AT242" s="1103"/>
      <c r="AU242" s="1103"/>
      <c r="AV242" s="1104"/>
      <c r="AW242" s="1095" t="s">
        <v>840</v>
      </c>
      <c r="AX242" s="1095"/>
      <c r="AY242" s="318">
        <v>1</v>
      </c>
    </row>
    <row r="243" spans="2:51" ht="15" customHeight="1">
      <c r="AS243" s="922" t="str">
        <f>AM167</f>
        <v>Repasse de PIS COFINS</v>
      </c>
      <c r="AT243" s="922"/>
      <c r="AU243" s="923">
        <f ca="1">AN167</f>
        <v>344859.5195844142</v>
      </c>
      <c r="AV243" s="924"/>
      <c r="AW243" s="924">
        <f ca="1">AU243/Financeiros!$D$4</f>
        <v>1.2471749066025994E-2</v>
      </c>
      <c r="AX243" s="921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2" t="str">
        <f t="shared" ref="AS244:AS271" si="21">AM168</f>
        <v>Neutralidade Encargos Setoriais</v>
      </c>
      <c r="AT244" s="922"/>
      <c r="AU244" s="923">
        <f t="shared" ref="AU244:AU283" ca="1" si="22">AN168</f>
        <v>-35573.907815025726</v>
      </c>
      <c r="AV244" s="924"/>
      <c r="AW244" s="924">
        <f ca="1">AU244/Financeiros!$D$4</f>
        <v>-1.2865205290014949E-3</v>
      </c>
      <c r="AX244" s="921"/>
      <c r="AY244" s="318">
        <f t="shared" ref="AY244:AY252" ca="1" si="23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2" t="str">
        <f t="shared" si="21"/>
        <v>Neutralidade Financeiros e Encargos Conta Covid</v>
      </c>
      <c r="AT245" s="922"/>
      <c r="AU245" s="923">
        <f t="shared" ca="1" si="22"/>
        <v>0</v>
      </c>
      <c r="AV245" s="924"/>
      <c r="AW245" s="924">
        <f ca="1">AU245/Financeiros!$D$4</f>
        <v>0</v>
      </c>
      <c r="AX245" s="921"/>
      <c r="AY245" s="318">
        <f t="shared" ca="1" si="23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2" t="str">
        <f t="shared" si="21"/>
        <v>Neutralidades Crédito de Pis cofins</v>
      </c>
      <c r="AT246" s="922"/>
      <c r="AU246" s="923">
        <f t="shared" ca="1" si="22"/>
        <v>0</v>
      </c>
      <c r="AV246" s="924"/>
      <c r="AW246" s="924">
        <f ca="1">AU246/Financeiros!$D$4</f>
        <v>0</v>
      </c>
      <c r="AX246" s="921"/>
      <c r="AY246" s="318">
        <f t="shared" ca="1" si="23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2" t="str">
        <f t="shared" si="21"/>
        <v>Ajuste CUST RB + PIS Cofins</v>
      </c>
      <c r="AT247" s="922"/>
      <c r="AU247" s="923">
        <f t="shared" si="22"/>
        <v>0</v>
      </c>
      <c r="AV247" s="924"/>
      <c r="AW247" s="924">
        <f ca="1">AU247/Financeiros!$D$4</f>
        <v>0</v>
      </c>
      <c r="AX247" s="921"/>
      <c r="AY247" s="318">
        <f t="shared" ca="1" si="23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2">
        <f t="shared" si="21"/>
        <v>0</v>
      </c>
      <c r="AT248" s="922"/>
      <c r="AU248" s="923">
        <f t="shared" si="22"/>
        <v>0</v>
      </c>
      <c r="AV248" s="924"/>
      <c r="AW248" s="924">
        <f ca="1">AU248/Financeiros!$D$4</f>
        <v>0</v>
      </c>
      <c r="AX248" s="921"/>
      <c r="AY248" s="318">
        <f t="shared" ca="1" si="23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2">
        <f t="shared" si="21"/>
        <v>0</v>
      </c>
      <c r="AT249" s="922"/>
      <c r="AU249" s="923">
        <f t="shared" si="22"/>
        <v>0</v>
      </c>
      <c r="AV249" s="924"/>
      <c r="AW249" s="924">
        <f ca="1">AU249/Financeiros!$D$4</f>
        <v>0</v>
      </c>
      <c r="AX249" s="921"/>
      <c r="AY249" s="318">
        <f t="shared" ca="1" si="23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2" t="str">
        <f t="shared" si="21"/>
        <v>Manual de Contabilidade do Setor Elétrico</v>
      </c>
      <c r="AT250" s="922"/>
      <c r="AU250" s="923">
        <f t="shared" si="22"/>
        <v>0</v>
      </c>
      <c r="AV250" s="924"/>
      <c r="AW250" s="924">
        <f ca="1">AU250/Financeiros!$D$4</f>
        <v>0</v>
      </c>
      <c r="AX250" s="921"/>
      <c r="AY250" s="318">
        <f t="shared" ca="1" si="23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2" t="str">
        <f t="shared" si="21"/>
        <v>Financeiro CDE Eletrobras</v>
      </c>
      <c r="AT251" s="922"/>
      <c r="AU251" s="923">
        <f t="shared" si="22"/>
        <v>0</v>
      </c>
      <c r="AV251" s="924"/>
      <c r="AW251" s="924">
        <f ca="1">AU251/Financeiros!$D$4</f>
        <v>0</v>
      </c>
      <c r="AX251" s="921"/>
      <c r="AY251" s="318">
        <f t="shared" ca="1" si="23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2" t="str">
        <f t="shared" si="21"/>
        <v>Ajustes Processo Anterior</v>
      </c>
      <c r="AT252" s="922"/>
      <c r="AU252" s="923">
        <f t="shared" si="22"/>
        <v>0</v>
      </c>
      <c r="AV252" s="924"/>
      <c r="AW252" s="924">
        <f ca="1">AU252/Financeiros!$D$4</f>
        <v>0</v>
      </c>
      <c r="AX252" s="921"/>
      <c r="AY252" s="318">
        <f t="shared" ca="1" si="23"/>
        <v>0</v>
      </c>
    </row>
    <row r="253" spans="2:51" ht="15" hidden="1" customHeight="1">
      <c r="B253" s="343"/>
      <c r="C253" s="344"/>
      <c r="D253" s="344"/>
      <c r="E253" s="344"/>
      <c r="F253" s="345"/>
      <c r="G253" s="345"/>
      <c r="H253" s="345"/>
      <c r="AS253" s="922" t="str">
        <f t="shared" si="21"/>
        <v>Compensação DIC FIC</v>
      </c>
      <c r="AT253" s="922"/>
      <c r="AU253" s="923">
        <f t="shared" si="22"/>
        <v>0</v>
      </c>
      <c r="AV253" s="924"/>
      <c r="AW253" s="924">
        <f ca="1">AU253/Financeiros!$D$4</f>
        <v>0</v>
      </c>
      <c r="AX253" s="921"/>
      <c r="AY253" s="912">
        <f ca="1">IF(AW253=0,0,1)</f>
        <v>0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2" t="str">
        <f t="shared" si="21"/>
        <v>Subvenção CDE</v>
      </c>
      <c r="AT254" s="922"/>
      <c r="AU254" s="923">
        <f t="shared" ca="1" si="22"/>
        <v>-2548674.1739379396</v>
      </c>
      <c r="AV254" s="924"/>
      <c r="AW254" s="924">
        <f ca="1">AU254/Financeiros!$D$4</f>
        <v>-9.21720960080223E-2</v>
      </c>
      <c r="AX254" s="921"/>
      <c r="AY254" s="912">
        <f t="shared" ref="AY254:AY256" ca="1" si="24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2" t="str">
        <f t="shared" si="21"/>
        <v>Retenção de Adicionais de Bandeiras Tarifárias</v>
      </c>
      <c r="AT255" s="922"/>
      <c r="AU255" s="923">
        <f t="shared" si="22"/>
        <v>-255991.95877886674</v>
      </c>
      <c r="AV255" s="924"/>
      <c r="AW255" s="924">
        <f ca="1">AU255/Financeiros!$D$4</f>
        <v>-9.2578783287117581E-3</v>
      </c>
      <c r="AX255" s="921"/>
      <c r="AY255" s="912">
        <f t="shared" ca="1" si="24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2" t="str">
        <f t="shared" si="21"/>
        <v>Multa LPT</v>
      </c>
      <c r="AT256" s="922"/>
      <c r="AU256" s="923">
        <f t="shared" si="22"/>
        <v>0</v>
      </c>
      <c r="AV256" s="924"/>
      <c r="AW256" s="924">
        <f ca="1">AU256/Financeiros!$D$4</f>
        <v>0</v>
      </c>
      <c r="AX256" s="921"/>
      <c r="AY256" s="912">
        <f t="shared" ca="1" si="24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2" t="str">
        <f t="shared" si="21"/>
        <v>Repasse de ICMS</v>
      </c>
      <c r="AT257" s="922"/>
      <c r="AU257" s="923">
        <f t="shared" si="22"/>
        <v>0</v>
      </c>
      <c r="AV257" s="924"/>
      <c r="AW257" s="924">
        <f ca="1">AU257/Financeiros!$D$4</f>
        <v>0</v>
      </c>
      <c r="AX257" s="921"/>
      <c r="AY257" s="912">
        <f t="shared" ref="AY257:AY261" ca="1" si="25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2">
        <f t="shared" si="21"/>
        <v>0</v>
      </c>
      <c r="AT258" s="922"/>
      <c r="AU258" s="923">
        <f t="shared" si="22"/>
        <v>0</v>
      </c>
      <c r="AV258" s="924"/>
      <c r="AW258" s="924">
        <f ca="1">AU258/Financeiros!$D$4</f>
        <v>0</v>
      </c>
      <c r="AX258" s="921"/>
      <c r="AY258" s="912">
        <f t="shared" ref="AY258:AY260" ca="1" si="26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2" t="str">
        <f t="shared" si="21"/>
        <v>Ressarcimento P&amp;D</v>
      </c>
      <c r="AT259" s="922"/>
      <c r="AU259" s="923">
        <f t="shared" si="22"/>
        <v>0</v>
      </c>
      <c r="AV259" s="924"/>
      <c r="AW259" s="924">
        <f ca="1">AU259/Financeiros!$D$4</f>
        <v>0</v>
      </c>
      <c r="AX259" s="921"/>
      <c r="AY259" s="912">
        <f t="shared" ca="1" si="26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2" t="str">
        <f t="shared" si="21"/>
        <v>Efeito Conta COVID</v>
      </c>
      <c r="AT260" s="922"/>
      <c r="AU260" s="923">
        <f t="shared" si="22"/>
        <v>0</v>
      </c>
      <c r="AV260" s="924"/>
      <c r="AW260" s="924">
        <f ca="1">AU260/Financeiros!$D$4</f>
        <v>0</v>
      </c>
      <c r="AX260" s="921"/>
      <c r="AY260" s="912">
        <f t="shared" ca="1" si="26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2" t="str">
        <f t="shared" si="21"/>
        <v>Diferimento de Parcela B</v>
      </c>
      <c r="AT261" s="922"/>
      <c r="AU261" s="923">
        <f t="shared" si="22"/>
        <v>0</v>
      </c>
      <c r="AV261" s="924"/>
      <c r="AW261" s="924">
        <f ca="1">AU261/Financeiros!$D$4</f>
        <v>0</v>
      </c>
      <c r="AX261" s="921"/>
      <c r="AY261" s="912">
        <f t="shared" ca="1" si="25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2" t="str">
        <f t="shared" si="21"/>
        <v>Efeito COVID da Supridora</v>
      </c>
      <c r="AT262" s="922"/>
      <c r="AU262" s="923">
        <f t="shared" si="22"/>
        <v>0</v>
      </c>
      <c r="AV262" s="924"/>
      <c r="AW262" s="924">
        <f ca="1">AU262/Financeiros!$D$4</f>
        <v>0</v>
      </c>
      <c r="AX262" s="921"/>
      <c r="AY262" s="914">
        <f t="shared" ref="AY262:AY263" ca="1" si="27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2" t="str">
        <f t="shared" si="21"/>
        <v>Crédito de Pis Cofins sobre ICMS</v>
      </c>
      <c r="AT263" s="922"/>
      <c r="AU263" s="923">
        <f t="shared" si="22"/>
        <v>0</v>
      </c>
      <c r="AV263" s="924"/>
      <c r="AW263" s="924">
        <f ca="1">AU263/Financeiros!$D$4</f>
        <v>0</v>
      </c>
      <c r="AX263" s="921"/>
      <c r="AY263" s="914">
        <f t="shared" ca="1" si="27"/>
        <v>0</v>
      </c>
    </row>
    <row r="264" spans="2:51" ht="15" customHeight="1">
      <c r="B264" s="343"/>
      <c r="C264" s="344"/>
      <c r="D264" s="344"/>
      <c r="E264" s="344"/>
      <c r="F264" s="345"/>
      <c r="G264" s="345"/>
      <c r="H264" s="345"/>
      <c r="AS264" s="922" t="str">
        <f t="shared" si="21"/>
        <v>Diferimento PIS COFINS</v>
      </c>
      <c r="AT264" s="922"/>
      <c r="AU264" s="923">
        <f t="shared" ca="1" si="22"/>
        <v>-344859.5195844142</v>
      </c>
      <c r="AV264" s="924"/>
      <c r="AW264" s="924">
        <f ca="1">AU264/Financeiros!$D$4</f>
        <v>-1.2471749066025994E-2</v>
      </c>
      <c r="AX264" s="921"/>
      <c r="AY264" s="914">
        <f t="shared" ref="AY264:AY271" ca="1" si="28">IF(AW264=0,0,1)</f>
        <v>1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2">
        <f t="shared" si="21"/>
        <v>0</v>
      </c>
      <c r="AT265" s="922"/>
      <c r="AU265" s="923">
        <f t="shared" si="22"/>
        <v>0</v>
      </c>
      <c r="AV265" s="924"/>
      <c r="AW265" s="924">
        <f ca="1">AU265/Financeiros!$D$4</f>
        <v>0</v>
      </c>
      <c r="AX265" s="921"/>
      <c r="AY265" s="914">
        <f t="shared" ca="1" si="28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2" t="str">
        <f t="shared" si="21"/>
        <v>Financeiros associados ao §7º do Art. 88 da Ren 414/2021</v>
      </c>
      <c r="AT266" s="922"/>
      <c r="AU266" s="923">
        <f t="shared" si="22"/>
        <v>0</v>
      </c>
      <c r="AV266" s="924"/>
      <c r="AW266" s="924">
        <f ca="1">AU266/Financeiros!$D$4</f>
        <v>0</v>
      </c>
      <c r="AX266" s="921"/>
      <c r="AY266" s="914">
        <f t="shared" ca="1" si="28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2" t="str">
        <f t="shared" si="21"/>
        <v>Spread Conta Covid</v>
      </c>
      <c r="AT267" s="922"/>
      <c r="AU267" s="923">
        <f t="shared" si="22"/>
        <v>0</v>
      </c>
      <c r="AV267" s="924"/>
      <c r="AW267" s="924">
        <f ca="1">AU267/Financeiros!$D$4</f>
        <v>0</v>
      </c>
      <c r="AX267" s="921"/>
      <c r="AY267" s="914">
        <f t="shared" ca="1" si="28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2" t="str">
        <f t="shared" si="21"/>
        <v xml:space="preserve">Diferimento de Energia </v>
      </c>
      <c r="AT268" s="922"/>
      <c r="AU268" s="923">
        <f t="shared" si="22"/>
        <v>0</v>
      </c>
      <c r="AV268" s="924"/>
      <c r="AW268" s="924">
        <f ca="1">AU268/Financeiros!$D$4</f>
        <v>0</v>
      </c>
      <c r="AX268" s="921"/>
      <c r="AY268" s="914">
        <f t="shared" ca="1" si="28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2" t="str">
        <f t="shared" si="21"/>
        <v xml:space="preserve">Reversão do Diferimento de Compra de Energia </v>
      </c>
      <c r="AT269" s="922"/>
      <c r="AU269" s="923">
        <f t="shared" si="22"/>
        <v>0</v>
      </c>
      <c r="AV269" s="924"/>
      <c r="AW269" s="924">
        <f ca="1">AU269/Financeiros!$D$4</f>
        <v>0</v>
      </c>
      <c r="AX269" s="921"/>
      <c r="AY269" s="914">
        <f t="shared" ca="1" si="28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2" t="str">
        <f t="shared" si="21"/>
        <v>Reversão do Diferimento de Parcela B</v>
      </c>
      <c r="AT270" s="922"/>
      <c r="AU270" s="923">
        <f t="shared" si="22"/>
        <v>0</v>
      </c>
      <c r="AV270" s="924"/>
      <c r="AW270" s="924">
        <f ca="1">AU270/Financeiros!$D$4</f>
        <v>0</v>
      </c>
      <c r="AX270" s="921"/>
      <c r="AY270" s="914">
        <f t="shared" ca="1" si="28"/>
        <v>0</v>
      </c>
    </row>
    <row r="271" spans="2:51" ht="15" customHeight="1">
      <c r="B271" s="343"/>
      <c r="C271" s="344"/>
      <c r="D271" s="344"/>
      <c r="E271" s="344"/>
      <c r="F271" s="345"/>
      <c r="G271" s="345"/>
      <c r="H271" s="345"/>
      <c r="AS271" s="922" t="str">
        <f t="shared" si="21"/>
        <v xml:space="preserve">Reversão do Diferimento de Pis Cofins </v>
      </c>
      <c r="AT271" s="922"/>
      <c r="AU271" s="923">
        <f t="shared" si="22"/>
        <v>402071.05509059655</v>
      </c>
      <c r="AV271" s="924"/>
      <c r="AW271" s="924">
        <f ca="1">AU271/Financeiros!$D$4</f>
        <v>1.4540788411017851E-2</v>
      </c>
      <c r="AX271" s="921"/>
      <c r="AY271" s="914">
        <f t="shared" ca="1" si="28"/>
        <v>1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2">
        <f t="shared" ref="AS272:AS276" si="29">AM196</f>
        <v>0</v>
      </c>
      <c r="AT272" s="922"/>
      <c r="AU272" s="923">
        <f t="shared" si="22"/>
        <v>0</v>
      </c>
      <c r="AV272" s="924"/>
      <c r="AW272" s="924">
        <f ca="1">AU272/Financeiros!$D$4</f>
        <v>0</v>
      </c>
      <c r="AX272" s="921"/>
      <c r="AY272" s="912">
        <f t="shared" ref="AY272:AY276" ca="1" si="30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2" t="str">
        <f t="shared" si="29"/>
        <v>CVE - Energia</v>
      </c>
      <c r="AT273" s="922"/>
      <c r="AU273" s="923">
        <f t="shared" ca="1" si="22"/>
        <v>0</v>
      </c>
      <c r="AV273" s="924"/>
      <c r="AW273" s="924">
        <f ca="1">AU273/Financeiros!$D$4</f>
        <v>0</v>
      </c>
      <c r="AX273" s="921"/>
      <c r="AY273" s="912">
        <f t="shared" ca="1" si="30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2" t="str">
        <f t="shared" si="29"/>
        <v>CVE - Encargos</v>
      </c>
      <c r="AT274" s="922"/>
      <c r="AU274" s="923">
        <f t="shared" si="22"/>
        <v>0</v>
      </c>
      <c r="AV274" s="924"/>
      <c r="AW274" s="924">
        <f ca="1">AU274/Financeiros!$D$4</f>
        <v>0</v>
      </c>
      <c r="AX274" s="921"/>
      <c r="AY274" s="912">
        <f t="shared" ca="1" si="30"/>
        <v>0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2" t="str">
        <f t="shared" si="29"/>
        <v>Conta Escassez</v>
      </c>
      <c r="AT275" s="922"/>
      <c r="AU275" s="923">
        <f t="shared" ca="1" si="22"/>
        <v>0</v>
      </c>
      <c r="AV275" s="924"/>
      <c r="AW275" s="924">
        <f ca="1">AU275/Financeiros!$D$4</f>
        <v>0</v>
      </c>
      <c r="AX275" s="921"/>
      <c r="AY275" s="912">
        <f t="shared" ca="1" si="30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2">
        <f t="shared" si="29"/>
        <v>0</v>
      </c>
      <c r="AT276" s="922"/>
      <c r="AU276" s="923">
        <f t="shared" si="22"/>
        <v>0</v>
      </c>
      <c r="AV276" s="924"/>
      <c r="AW276" s="924">
        <f ca="1">AU276/Financeiros!$D$4</f>
        <v>0</v>
      </c>
      <c r="AX276" s="921"/>
      <c r="AY276" s="912">
        <f t="shared" ca="1" si="30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2">
        <f t="shared" ref="AS277:AS281" si="31">AM201</f>
        <v>0</v>
      </c>
      <c r="AT277" s="922"/>
      <c r="AU277" s="923">
        <f t="shared" si="22"/>
        <v>0</v>
      </c>
      <c r="AV277" s="924"/>
      <c r="AW277" s="924">
        <f ca="1">AU277/Financeiros!$D$4</f>
        <v>0</v>
      </c>
      <c r="AX277" s="921"/>
      <c r="AY277" s="912">
        <f t="shared" ref="AY277:AY281" ca="1" si="32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2" t="str">
        <f t="shared" si="31"/>
        <v>Sobrecontratação/Exposição de Energia</v>
      </c>
      <c r="AT278" s="922"/>
      <c r="AU278" s="923">
        <f t="shared" ca="1" si="22"/>
        <v>0</v>
      </c>
      <c r="AV278" s="924"/>
      <c r="AW278" s="924">
        <f ca="1">AU278/Financeiros!$D$4</f>
        <v>0</v>
      </c>
      <c r="AX278" s="921"/>
      <c r="AY278" s="912">
        <f t="shared" ca="1" si="32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2" t="str">
        <f t="shared" si="31"/>
        <v>Reversão de Risco Hidrológico</v>
      </c>
      <c r="AT279" s="922"/>
      <c r="AU279" s="923">
        <f t="shared" ca="1" si="22"/>
        <v>0</v>
      </c>
      <c r="AV279" s="924"/>
      <c r="AW279" s="924">
        <f ca="1">AU279/Financeiros!$D$4</f>
        <v>0</v>
      </c>
      <c r="AX279" s="921"/>
      <c r="AY279" s="912">
        <f t="shared" ca="1" si="32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2" t="str">
        <f t="shared" si="31"/>
        <v>Previsão de Risco Hidrologico</v>
      </c>
      <c r="AT280" s="922"/>
      <c r="AU280" s="923">
        <f t="shared" ca="1" si="22"/>
        <v>0</v>
      </c>
      <c r="AV280" s="924"/>
      <c r="AW280" s="924">
        <f ca="1">AU280/Financeiros!$D$4</f>
        <v>0</v>
      </c>
      <c r="AX280" s="921"/>
      <c r="AY280" s="912">
        <f t="shared" ca="1" si="32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2" t="str">
        <f t="shared" si="31"/>
        <v>Diferimento da Previsão da Risco Hidrológico</v>
      </c>
      <c r="AT281" s="922"/>
      <c r="AU281" s="923">
        <f t="shared" si="22"/>
        <v>0</v>
      </c>
      <c r="AV281" s="924"/>
      <c r="AW281" s="924">
        <f ca="1">AU281/Financeiros!$D$4</f>
        <v>0</v>
      </c>
      <c r="AX281" s="921"/>
      <c r="AY281" s="912">
        <f t="shared" ca="1" si="32"/>
        <v>0</v>
      </c>
    </row>
    <row r="282" spans="2:53" ht="15" customHeight="1">
      <c r="B282" s="343"/>
      <c r="C282" s="344"/>
      <c r="D282" s="344"/>
      <c r="E282" s="344"/>
      <c r="F282" s="345"/>
      <c r="G282" s="345"/>
      <c r="H282" s="345"/>
      <c r="AS282" s="922" t="str">
        <f t="shared" ref="AS282:AS283" si="33">AM206</f>
        <v>Diferimento CUSD</v>
      </c>
      <c r="AT282" s="922"/>
      <c r="AU282" s="923">
        <f t="shared" si="22"/>
        <v>-402000</v>
      </c>
      <c r="AV282" s="924"/>
      <c r="AW282" s="924">
        <f ca="1">AU282/Financeiros!$D$4</f>
        <v>-1.4538218723335017E-2</v>
      </c>
      <c r="AX282" s="921"/>
      <c r="AY282" s="912">
        <f t="shared" ref="AY282:AY283" ca="1" si="34">IF(AW282=0,0,1)</f>
        <v>1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2">
        <f t="shared" si="33"/>
        <v>0</v>
      </c>
      <c r="AT283" s="922"/>
      <c r="AU283" s="923">
        <f t="shared" si="22"/>
        <v>0</v>
      </c>
      <c r="AV283" s="924"/>
      <c r="AW283" s="924">
        <f ca="1">AU283/Financeiros!$D$4</f>
        <v>0</v>
      </c>
      <c r="AX283" s="921"/>
      <c r="AY283" s="912">
        <f t="shared" ca="1" si="34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0" t="s">
        <v>841</v>
      </c>
      <c r="AT284" s="1100"/>
      <c r="AU284" s="1105">
        <f ca="1">SUM(AU243:AU283)</f>
        <v>-2840168.9854412354</v>
      </c>
      <c r="AV284" s="1106"/>
      <c r="AW284" s="1106">
        <f ca="1">ROUND(SUM(AW243:AW283),4)</f>
        <v>-0.1027</v>
      </c>
      <c r="AX284" s="1106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07" t="str">
        <f>Resultado!B9</f>
        <v>Variação econômica e financeira</v>
      </c>
      <c r="AT285" s="1107"/>
      <c r="AU285" s="1107"/>
      <c r="AV285" s="1108"/>
      <c r="AW285" s="1108">
        <f ca="1">ROUND(AW240+AW284,4)</f>
        <v>-3.0800000000000001E-2</v>
      </c>
      <c r="AX285" s="1108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0" t="s">
        <v>842</v>
      </c>
      <c r="AT286" s="1100"/>
      <c r="AU286" s="1100"/>
      <c r="AV286" s="1100"/>
      <c r="AW286" s="1109">
        <f ca="1">ROUND(AW288-AW285,4)</f>
        <v>0.1168</v>
      </c>
      <c r="AX286" s="1109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0" t="s">
        <v>843</v>
      </c>
      <c r="AT287" s="1110"/>
      <c r="AU287" s="1105"/>
      <c r="AV287" s="1105"/>
      <c r="AW287" s="1111">
        <v>0</v>
      </c>
      <c r="AX287" s="1112"/>
      <c r="AY287" s="318">
        <f t="shared" si="15"/>
        <v>0</v>
      </c>
      <c r="BA287" s="770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5" t="s">
        <v>844</v>
      </c>
      <c r="AT288" s="1835"/>
      <c r="AU288" s="1835"/>
      <c r="AV288" s="1835"/>
      <c r="AW288" s="1108">
        <f>Resultado!L5</f>
        <v>8.6014610421965454E-2</v>
      </c>
      <c r="AX288" s="1108"/>
      <c r="AY288" s="318"/>
    </row>
    <row r="289" spans="2:84" ht="15" customHeight="1">
      <c r="AW289" s="772">
        <v>-0.1116</v>
      </c>
      <c r="BA289" s="1091" t="s">
        <v>845</v>
      </c>
      <c r="BB289" s="30" t="s">
        <v>846</v>
      </c>
      <c r="BC289" s="30"/>
      <c r="BD289" s="30"/>
      <c r="BE289" s="30"/>
      <c r="BF289" s="30"/>
      <c r="BG289" s="30"/>
      <c r="BH289" s="303" t="s">
        <v>771</v>
      </c>
      <c r="BI289" s="303" t="s">
        <v>771</v>
      </c>
    </row>
    <row r="290" spans="2:84" ht="45" customHeight="1">
      <c r="AU290" s="413"/>
      <c r="BA290" s="927" t="s">
        <v>847</v>
      </c>
      <c r="BB290" s="927" t="str">
        <f>"Cobertura "&amp;YEAR(CAPA!C14)&amp;"/"&amp;YEAR(CAPA!C14)+1</f>
        <v>Cobertura 2021/2022</v>
      </c>
      <c r="BC290" s="927" t="str">
        <f>"Cobertura "&amp;YEAR(CAPA!C14)&amp;"/"&amp;YEAR(CAPA!C14)+1&amp;" Atualizada"</f>
        <v>Cobertura 2021/2022 Atualizada</v>
      </c>
      <c r="BD290" s="927" t="s">
        <v>848</v>
      </c>
      <c r="BE290" s="927" t="s">
        <v>849</v>
      </c>
      <c r="BF290" s="927" t="s">
        <v>850</v>
      </c>
      <c r="BG290" s="927" t="str">
        <f>"Previsão "&amp;YEAR(CAPA!C14)+1&amp;"/"&amp;YEAR(CAPA!C14)+2</f>
        <v>Previsão 2022/2023</v>
      </c>
      <c r="BH290" s="927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724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28" t="e">
        <f>Indexador!#REF!</f>
        <v>#REF!</v>
      </c>
      <c r="BC291" s="928" t="e">
        <f>Indexador!#REF!</f>
        <v>#REF!</v>
      </c>
      <c r="BD291" s="928" t="e">
        <f>Indexador!#REF!</f>
        <v>#REF!</v>
      </c>
      <c r="BE291" s="928" t="e">
        <f>Indexador!#REF!</f>
        <v>#REF!</v>
      </c>
      <c r="BF291" s="928">
        <f>BP311</f>
        <v>0</v>
      </c>
      <c r="BG291" s="928">
        <f t="shared" ref="BG291:BH296" si="35">BQ311</f>
        <v>0</v>
      </c>
      <c r="BH291" s="928">
        <f t="shared" si="35"/>
        <v>0</v>
      </c>
      <c r="BI291" s="352" t="e">
        <f>Indexador!#REF!</f>
        <v>#REF!</v>
      </c>
      <c r="BJ291" s="333">
        <f t="shared" ref="BJ291:BJ297" si="36">IF(BH291=0,0,1)</f>
        <v>0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7">BO312</f>
        <v>Subsidio Geração Fonte Incentivda</v>
      </c>
      <c r="BB292" s="928" t="e">
        <f>Indexador!#REF!</f>
        <v>#REF!</v>
      </c>
      <c r="BC292" s="928" t="e">
        <f>Indexador!#REF!</f>
        <v>#REF!</v>
      </c>
      <c r="BD292" s="928" t="e">
        <f>Indexador!#REF!</f>
        <v>#REF!</v>
      </c>
      <c r="BE292" s="928" t="e">
        <f>Indexador!#REF!</f>
        <v>#REF!</v>
      </c>
      <c r="BF292" s="929">
        <f t="shared" ref="BF292:BF296" si="38">BP312</f>
        <v>0</v>
      </c>
      <c r="BG292" s="929">
        <f t="shared" si="35"/>
        <v>0</v>
      </c>
      <c r="BH292" s="929">
        <f t="shared" si="35"/>
        <v>0</v>
      </c>
      <c r="BI292" s="352" t="e">
        <f>Indexador!#REF!</f>
        <v>#REF!</v>
      </c>
      <c r="BJ292" s="333">
        <f t="shared" si="36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7"/>
        <v>Subsidio Distribuição</v>
      </c>
      <c r="BB293" s="928" t="e">
        <f>Indexador!#REF!</f>
        <v>#REF!</v>
      </c>
      <c r="BC293" s="928" t="e">
        <f>Indexador!#REF!</f>
        <v>#REF!</v>
      </c>
      <c r="BD293" s="928" t="e">
        <f>Indexador!#REF!</f>
        <v>#REF!</v>
      </c>
      <c r="BE293" s="928" t="e">
        <f>Indexador!#REF!</f>
        <v>#REF!</v>
      </c>
      <c r="BF293" s="929">
        <f t="shared" si="38"/>
        <v>0</v>
      </c>
      <c r="BG293" s="929">
        <f t="shared" si="35"/>
        <v>0</v>
      </c>
      <c r="BH293" s="929">
        <f t="shared" si="35"/>
        <v>0</v>
      </c>
      <c r="BI293" s="352" t="e">
        <f>Indexador!#REF!</f>
        <v>#REF!</v>
      </c>
      <c r="BJ293" s="333">
        <f t="shared" si="36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U294" s="23">
        <f ca="1">Financeiros!D7</f>
        <v>-2840168.9854412354</v>
      </c>
      <c r="AV294" s="1766">
        <f ca="1">Financeiros!E7</f>
        <v>-0.10271392517805274</v>
      </c>
      <c r="AW294" s="23">
        <f>Financeiros!F7</f>
        <v>0</v>
      </c>
      <c r="AZ294" s="353"/>
      <c r="BA294" s="436" t="str">
        <f t="shared" si="37"/>
        <v>Subsidio Água, Esgoto e Saneamento</v>
      </c>
      <c r="BB294" s="928" t="e">
        <f>Indexador!#REF!</f>
        <v>#REF!</v>
      </c>
      <c r="BC294" s="928" t="e">
        <f>Indexador!#REF!</f>
        <v>#REF!</v>
      </c>
      <c r="BD294" s="928" t="e">
        <f>Indexador!#REF!</f>
        <v>#REF!</v>
      </c>
      <c r="BE294" s="928" t="e">
        <f>Indexador!#REF!</f>
        <v>#REF!</v>
      </c>
      <c r="BF294" s="929">
        <f t="shared" si="38"/>
        <v>100.24014443967947</v>
      </c>
      <c r="BG294" s="929">
        <f t="shared" si="35"/>
        <v>891.95975445176975</v>
      </c>
      <c r="BH294" s="929">
        <f t="shared" si="35"/>
        <v>992.19989889144927</v>
      </c>
      <c r="BI294" s="352" t="e">
        <f>Indexador!#REF!</f>
        <v>#REF!</v>
      </c>
      <c r="BJ294" s="333">
        <f t="shared" si="36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>
        <f ca="1">AU284-AU294</f>
        <v>0</v>
      </c>
      <c r="AZ295" s="353"/>
      <c r="BA295" s="436" t="str">
        <f t="shared" si="37"/>
        <v>Subsidio Rural</v>
      </c>
      <c r="BB295" s="928" t="e">
        <f>Indexador!#REF!</f>
        <v>#REF!</v>
      </c>
      <c r="BC295" s="928" t="e">
        <f>Indexador!#REF!</f>
        <v>#REF!</v>
      </c>
      <c r="BD295" s="928" t="e">
        <f>Indexador!#REF!</f>
        <v>#REF!</v>
      </c>
      <c r="BE295" s="928" t="e">
        <f>Indexador!#REF!</f>
        <v>#REF!</v>
      </c>
      <c r="BF295" s="929">
        <f t="shared" si="38"/>
        <v>38.041664139115404</v>
      </c>
      <c r="BG295" s="929">
        <f t="shared" si="35"/>
        <v>13195.305663701862</v>
      </c>
      <c r="BH295" s="929">
        <f t="shared" si="35"/>
        <v>13233.347327840977</v>
      </c>
      <c r="BI295" s="352" t="e">
        <f>Indexador!#REF!</f>
        <v>#REF!</v>
      </c>
      <c r="BJ295" s="333">
        <f t="shared" si="36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hidden="1" customHeight="1">
      <c r="AU296" s="413"/>
      <c r="AZ296" s="353"/>
      <c r="BA296" s="436" t="str">
        <f t="shared" si="37"/>
        <v>Subsidio - Irrigante/Aquicultor</v>
      </c>
      <c r="BB296" s="928" t="e">
        <f>Indexador!#REF!</f>
        <v>#REF!</v>
      </c>
      <c r="BC296" s="928" t="e">
        <f>Indexador!#REF!</f>
        <v>#REF!</v>
      </c>
      <c r="BD296" s="928" t="e">
        <f>Indexador!#REF!</f>
        <v>#REF!</v>
      </c>
      <c r="BE296" s="928" t="e">
        <f>Indexador!#REF!</f>
        <v>#REF!</v>
      </c>
      <c r="BF296" s="929">
        <f t="shared" si="38"/>
        <v>0</v>
      </c>
      <c r="BG296" s="929">
        <f t="shared" si="35"/>
        <v>0</v>
      </c>
      <c r="BH296" s="929">
        <f t="shared" si="35"/>
        <v>0</v>
      </c>
      <c r="BI296" s="352" t="e">
        <f>Indexador!#REF!</f>
        <v>#REF!</v>
      </c>
      <c r="BJ296" s="333">
        <f t="shared" si="36"/>
        <v>0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0" t="s">
        <v>758</v>
      </c>
      <c r="BB297" s="1113" t="e">
        <f t="shared" ref="BB297:BI297" si="39">SUM(BB291:BB296)</f>
        <v>#REF!</v>
      </c>
      <c r="BC297" s="1113" t="e">
        <f t="shared" si="39"/>
        <v>#REF!</v>
      </c>
      <c r="BD297" s="1113" t="e">
        <f t="shared" si="39"/>
        <v>#REF!</v>
      </c>
      <c r="BE297" s="1113" t="e">
        <f t="shared" si="39"/>
        <v>#REF!</v>
      </c>
      <c r="BF297" s="1114">
        <f t="shared" si="39"/>
        <v>138.28180857879488</v>
      </c>
      <c r="BG297" s="1114">
        <f t="shared" si="39"/>
        <v>14087.265418153631</v>
      </c>
      <c r="BH297" s="1114">
        <f t="shared" si="39"/>
        <v>14225.547226732426</v>
      </c>
      <c r="BI297" s="1115" t="e">
        <f t="shared" si="39"/>
        <v>#REF!</v>
      </c>
      <c r="BJ297" s="335">
        <f t="shared" si="36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1" t="s">
        <v>635</v>
      </c>
      <c r="BL298" s="353"/>
      <c r="BM298" s="303" t="s">
        <v>771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6" t="s">
        <v>851</v>
      </c>
      <c r="BL299" s="1116" t="s">
        <v>791</v>
      </c>
      <c r="BM299" s="1116" t="s">
        <v>828</v>
      </c>
      <c r="BN299" s="462" t="s">
        <v>724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0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0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716</v>
      </c>
      <c r="BL302" s="355"/>
      <c r="BM302" s="355"/>
      <c r="BN302" s="333">
        <f t="shared" si="40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717</v>
      </c>
      <c r="BL303" s="355"/>
      <c r="BM303" s="355"/>
      <c r="BN303" s="333">
        <f t="shared" si="40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718</v>
      </c>
      <c r="BL304" s="355"/>
      <c r="BM304" s="355"/>
      <c r="BN304" s="333">
        <f t="shared" si="40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719</v>
      </c>
      <c r="BL305" s="355"/>
      <c r="BM305" s="355"/>
      <c r="BN305" s="333">
        <f t="shared" si="40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0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0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17" t="s">
        <v>852</v>
      </c>
      <c r="BL308" s="1115">
        <f ca="1">SUM(BL300:BL307)</f>
        <v>0</v>
      </c>
      <c r="BM308" s="1115">
        <f>SUM(BM300:BM307)</f>
        <v>0</v>
      </c>
      <c r="BN308" s="333">
        <f ca="1">IF(BL308=0,0,1)</f>
        <v>0</v>
      </c>
      <c r="BO308" s="1091" t="s">
        <v>853</v>
      </c>
      <c r="BP308" s="353"/>
      <c r="BQ308" s="353"/>
      <c r="BR308" s="303" t="s">
        <v>771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(Certrel).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18" t="s">
        <v>854</v>
      </c>
      <c r="BP310" s="1118" t="s">
        <v>855</v>
      </c>
      <c r="BQ310" s="1118" t="s">
        <v>856</v>
      </c>
      <c r="BR310" s="1119" t="s">
        <v>857</v>
      </c>
      <c r="BS310" s="404" t="s">
        <v>724</v>
      </c>
      <c r="BU310" s="353"/>
      <c r="BV310" s="353"/>
      <c r="BW310" s="303" t="s">
        <v>771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0" t="s">
        <v>858</v>
      </c>
      <c r="BP311" s="1121">
        <f>IFERROR(Aj.Subsídio!L5,0)</f>
        <v>0</v>
      </c>
      <c r="BQ311" s="1121">
        <f>IFERROR(Aj.Subsídio!M5,0)</f>
        <v>0</v>
      </c>
      <c r="BR311" s="1121">
        <f t="shared" ref="BR311:BR317" si="41">BP311+BQ311</f>
        <v>0</v>
      </c>
      <c r="BS311" s="405">
        <f t="shared" ref="BS311:BS317" si="42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0" t="s">
        <v>859</v>
      </c>
      <c r="BP312" s="1121">
        <f>IFERROR(Aj.Subsídio!L6,0)</f>
        <v>0</v>
      </c>
      <c r="BQ312" s="1121">
        <f>IFERROR(Aj.Subsídio!M6,0)</f>
        <v>0</v>
      </c>
      <c r="BR312" s="1122">
        <f t="shared" si="41"/>
        <v>0</v>
      </c>
      <c r="BS312" s="358">
        <f t="shared" si="42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0" t="s">
        <v>860</v>
      </c>
      <c r="BP313" s="1121">
        <f>IFERROR(Aj.Subsídio!L7,0)</f>
        <v>0</v>
      </c>
      <c r="BQ313" s="1121">
        <f>IFERROR(Aj.Subsídio!M7,0)</f>
        <v>0</v>
      </c>
      <c r="BR313" s="1122">
        <f t="shared" si="41"/>
        <v>0</v>
      </c>
      <c r="BS313" s="358">
        <f t="shared" si="42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0" t="s">
        <v>861</v>
      </c>
      <c r="BP314" s="1121">
        <f>IFERROR(Aj.Subsídio!L8,0)</f>
        <v>100.24014443967947</v>
      </c>
      <c r="BQ314" s="1121">
        <f>IFERROR(Aj.Subsídio!M8,0)</f>
        <v>891.95975445176975</v>
      </c>
      <c r="BR314" s="1122">
        <f t="shared" si="41"/>
        <v>992.19989889144927</v>
      </c>
      <c r="BS314" s="358">
        <f t="shared" si="42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0" t="s">
        <v>862</v>
      </c>
      <c r="BP315" s="1121">
        <f>IFERROR(Aj.Subsídio!L9,0)</f>
        <v>38.041664139115404</v>
      </c>
      <c r="BQ315" s="1121">
        <f>IFERROR(Aj.Subsídio!M9,0)</f>
        <v>13195.305663701862</v>
      </c>
      <c r="BR315" s="1122">
        <f t="shared" si="41"/>
        <v>13233.347327840977</v>
      </c>
      <c r="BS315" s="358">
        <f t="shared" si="42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0" t="s">
        <v>863</v>
      </c>
      <c r="BP316" s="1121">
        <f>IFERROR(Aj.Subsídio!L10,0)</f>
        <v>0</v>
      </c>
      <c r="BQ316" s="1121">
        <f>IFERROR(Aj.Subsídio!M10,0)</f>
        <v>0</v>
      </c>
      <c r="BR316" s="1122">
        <f t="shared" si="41"/>
        <v>0</v>
      </c>
      <c r="BS316" s="358">
        <f t="shared" si="42"/>
        <v>0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3" t="s">
        <v>767</v>
      </c>
      <c r="BP317" s="1121">
        <f>SUM(BP311:BP316)</f>
        <v>138.28180857879488</v>
      </c>
      <c r="BQ317" s="1121">
        <f>SUM(BQ311:BQ316)</f>
        <v>14087.265418153631</v>
      </c>
      <c r="BR317" s="1122">
        <f t="shared" si="41"/>
        <v>14225.547226732426</v>
      </c>
      <c r="BS317" s="405">
        <f t="shared" si="42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8" t="s">
        <v>864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865</v>
      </c>
      <c r="BW319" s="60" t="s">
        <v>866</v>
      </c>
      <c r="BY319" s="23" t="s">
        <v>724</v>
      </c>
      <c r="BZ319" s="650" t="s">
        <v>867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0.61457499999999998</v>
      </c>
      <c r="BW320" s="420">
        <f>Energia!F28</f>
        <v>0.55957000000000001</v>
      </c>
      <c r="BY320" s="23">
        <f t="shared" ref="BY320:BY326" si="43">IF(BU320=0,0,1)</f>
        <v>1</v>
      </c>
      <c r="BZ320" s="649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3"/>
        <v>0</v>
      </c>
      <c r="BZ321" s="649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3"/>
        <v>0</v>
      </c>
      <c r="BZ322" s="649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3"/>
        <v>0</v>
      </c>
      <c r="BZ323" s="649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3"/>
        <v>0</v>
      </c>
      <c r="BZ324" s="649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3"/>
        <v>0</v>
      </c>
      <c r="BZ325" s="649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3"/>
        <v>#REF!</v>
      </c>
      <c r="BZ326" s="651" t="s">
        <v>633</v>
      </c>
      <c r="CB326" s="303" t="s">
        <v>771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4" t="s">
        <v>633</v>
      </c>
      <c r="CA327" s="1125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868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6" t="s">
        <v>869</v>
      </c>
      <c r="CA329" s="1127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29"/>
      <c r="C338" s="1829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29"/>
      <c r="C344" s="1829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29"/>
      <c r="C353" s="1829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S7:U7"/>
    <mergeCell ref="C75:E75"/>
    <mergeCell ref="C76:E76"/>
    <mergeCell ref="C77:E77"/>
    <mergeCell ref="C78:E78"/>
    <mergeCell ref="C74:E74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S232:AV232 AS230:AV230 AX230 AS231:AV231 AX231 AX232 AS236:AV236 AX236 K85 AT224 AW224:AX224 AW230:AW232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C1" zoomScale="101" zoomScaleNormal="101" workbookViewId="0">
      <selection activeCell="D40" sqref="D40:D41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6" customWidth="1"/>
    <col min="6" max="6" width="31.42578125" style="1595" customWidth="1"/>
    <col min="7" max="7" width="47.85546875" style="1595" bestFit="1" customWidth="1"/>
    <col min="8" max="13" width="16.28515625" style="906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0" t="s">
        <v>722</v>
      </c>
      <c r="D1" s="1301"/>
      <c r="E1" s="1302"/>
      <c r="F1" s="1588"/>
      <c r="G1" s="1703"/>
      <c r="H1" s="1702"/>
      <c r="I1" s="1586"/>
      <c r="J1" s="1597" t="s">
        <v>871</v>
      </c>
      <c r="K1" s="1228">
        <f ca="1">LnkTXTIRTEco</f>
        <v>7.1900000000000006E-2</v>
      </c>
      <c r="L1" s="1586"/>
      <c r="M1" s="1586"/>
    </row>
    <row r="2" spans="3:23" ht="16.5">
      <c r="C2" s="620" t="str">
        <f>CAPA!B2</f>
        <v>Certrel</v>
      </c>
      <c r="D2" s="622"/>
      <c r="E2" s="902"/>
      <c r="F2" s="1589"/>
      <c r="G2" s="1699" t="s">
        <v>2255</v>
      </c>
      <c r="H2" s="1704">
        <f ca="1">LnkTXTEV/LnkTXTER</f>
        <v>0.89680600422647017</v>
      </c>
      <c r="I2" s="902"/>
      <c r="J2" s="1598" t="s">
        <v>875</v>
      </c>
      <c r="K2" s="1599">
        <f ca="1">LnkTXTIRTTotal</f>
        <v>-3.0800000000000001E-2</v>
      </c>
      <c r="L2" s="902"/>
      <c r="M2" s="902"/>
    </row>
    <row r="3" spans="3:23" ht="16.5">
      <c r="C3" s="624"/>
      <c r="D3" s="622"/>
      <c r="E3" s="902"/>
      <c r="F3" s="1589"/>
      <c r="G3" s="1700" t="s">
        <v>2257</v>
      </c>
      <c r="H3" s="1705">
        <f ca="1">Energia!D10/LnkTXTER</f>
        <v>0</v>
      </c>
      <c r="I3" s="902"/>
      <c r="J3" s="902"/>
      <c r="K3" s="902"/>
      <c r="L3" s="902"/>
      <c r="M3" s="902"/>
    </row>
    <row r="4" spans="3:23" ht="16.5">
      <c r="C4" s="1303" t="s">
        <v>1276</v>
      </c>
      <c r="D4" s="1764">
        <f ca="1">LnkTXTRA0</f>
        <v>27651255.470160004</v>
      </c>
      <c r="E4" s="903"/>
      <c r="F4" s="1590"/>
      <c r="G4" s="1700" t="s">
        <v>2260</v>
      </c>
      <c r="H4" s="1705">
        <f ca="1">Energia!D11/LnkTXTER</f>
        <v>0.10319399577352981</v>
      </c>
      <c r="I4" s="903"/>
      <c r="J4" s="903"/>
      <c r="K4" s="903"/>
      <c r="L4" s="903"/>
      <c r="M4" s="903"/>
    </row>
    <row r="5" spans="3:23" ht="16.5">
      <c r="C5" s="1304" t="s">
        <v>1277</v>
      </c>
      <c r="D5" s="1765">
        <f ca="1">D7</f>
        <v>-2840168.9854412354</v>
      </c>
      <c r="E5" s="904"/>
      <c r="F5" s="1591"/>
      <c r="G5" s="1700" t="s">
        <v>2258</v>
      </c>
      <c r="H5" s="1705">
        <f ca="1">Energia!D12/LnkTXTER</f>
        <v>0</v>
      </c>
      <c r="I5" s="904"/>
      <c r="J5" s="904"/>
      <c r="K5" s="904"/>
      <c r="L5" s="904"/>
      <c r="M5" s="904"/>
    </row>
    <row r="6" spans="3:23" ht="16.5">
      <c r="C6" s="623"/>
      <c r="D6" s="1305"/>
      <c r="E6" s="905"/>
      <c r="F6" s="1592"/>
      <c r="G6" s="1701" t="s">
        <v>2259</v>
      </c>
      <c r="H6" s="1706">
        <f ca="1">Energia!D13/LnkTXTER</f>
        <v>0</v>
      </c>
      <c r="I6" s="905"/>
      <c r="J6" s="905"/>
      <c r="K6" s="905"/>
      <c r="L6" s="905"/>
      <c r="M6" s="905"/>
    </row>
    <row r="7" spans="3:23" ht="17.25" thickBot="1">
      <c r="C7" s="1306" t="s">
        <v>1278</v>
      </c>
      <c r="D7" s="1763">
        <f ca="1">SUM(D9:D100)</f>
        <v>-2840168.9854412354</v>
      </c>
      <c r="E7" s="1307">
        <f ca="1">SUM(E9:E100)</f>
        <v>-0.10271392517805274</v>
      </c>
      <c r="F7" s="1593"/>
      <c r="G7" s="1593"/>
      <c r="H7" s="1587"/>
      <c r="I7" s="1587"/>
      <c r="J7" s="1587"/>
      <c r="K7" s="1587"/>
      <c r="L7" s="1587"/>
      <c r="M7" s="1587"/>
    </row>
    <row r="8" spans="3:23" ht="16.5">
      <c r="C8" s="1308" t="s">
        <v>1279</v>
      </c>
      <c r="D8" s="1309" t="s">
        <v>37</v>
      </c>
      <c r="E8" s="1310" t="s">
        <v>1280</v>
      </c>
      <c r="F8" s="1594" t="s">
        <v>22</v>
      </c>
      <c r="G8" s="1594" t="s">
        <v>2274</v>
      </c>
      <c r="H8" s="1600" t="s">
        <v>1281</v>
      </c>
      <c r="I8" s="1600" t="s">
        <v>1282</v>
      </c>
      <c r="J8" s="1600" t="s">
        <v>1283</v>
      </c>
      <c r="K8" s="1600" t="s">
        <v>1284</v>
      </c>
      <c r="L8" s="1600" t="s">
        <v>1285</v>
      </c>
      <c r="M8" s="1600" t="s">
        <v>1286</v>
      </c>
      <c r="O8" s="1579" t="s">
        <v>22</v>
      </c>
      <c r="P8" s="1580" t="s">
        <v>1406</v>
      </c>
      <c r="Q8" s="1581" t="s">
        <v>1407</v>
      </c>
      <c r="R8" s="1581" t="s">
        <v>1408</v>
      </c>
      <c r="T8" s="1562" t="s">
        <v>22</v>
      </c>
      <c r="U8" s="1562" t="s">
        <v>1284</v>
      </c>
      <c r="V8" s="1562" t="s">
        <v>1285</v>
      </c>
      <c r="W8" s="1562" t="s">
        <v>1286</v>
      </c>
    </row>
    <row r="9" spans="3:23" ht="16.5">
      <c r="C9" s="1642" t="s">
        <v>1287</v>
      </c>
      <c r="D9" s="1643">
        <f>IFERROR(ABS(Indexador!$D$49)*'Tributos suprimento'!$C$41,0)</f>
        <v>156272.37582038148</v>
      </c>
      <c r="E9" s="1620">
        <f ca="1">IF(ISERROR(D9/$D$4),0,D9/$D$4)</f>
        <v>5.6515472141589968E-3</v>
      </c>
      <c r="F9" s="1608" t="s">
        <v>2235</v>
      </c>
      <c r="G9" s="1625" t="s">
        <v>2267</v>
      </c>
      <c r="H9" s="1609">
        <f>IFERROR(VLOOKUP(Financeiros[[#This Row],[Tipo]],RefTabTipo[],2,FALSE),0)</f>
        <v>22</v>
      </c>
      <c r="I9" s="1631">
        <f>IFERROR(VLOOKUP(Financeiros[[#This Row],[Tipo]],RefTabTipo[],3,FALSE),0)</f>
        <v>60</v>
      </c>
      <c r="J9" s="1610">
        <f>IFERROR(VLOOKUP(Financeiros[[#This Row],[Tipo]],RefTabTipo[],4,FALSE),0)</f>
        <v>999</v>
      </c>
      <c r="K9" s="1637">
        <f>IFERROR(VLOOKUP(Financeiros[[#This Row],[Grupo Tarifário]],RefTabGrupoTarifa[],2,FALSE),0)</f>
        <v>1</v>
      </c>
      <c r="L9" s="1609">
        <f>IFERROR(VLOOKUP(Financeiros[[#This Row],[Grupo Tarifário]],RefTabGrupoTarifa[],3,FALSE),0)</f>
        <v>7</v>
      </c>
      <c r="M9" s="1637">
        <f>IFERROR(VLOOKUP(Financeiros[[#This Row],[Grupo Tarifário]],RefTabGrupoTarifa[],4,FALSE),0)</f>
        <v>9</v>
      </c>
      <c r="O9" s="1582" t="s">
        <v>2228</v>
      </c>
      <c r="P9" s="1583">
        <v>22</v>
      </c>
      <c r="Q9" s="1583">
        <v>60</v>
      </c>
      <c r="R9" s="1584">
        <v>235</v>
      </c>
      <c r="T9" s="846" t="s">
        <v>2239</v>
      </c>
      <c r="U9" s="1454">
        <v>99</v>
      </c>
      <c r="V9" s="1454">
        <v>999</v>
      </c>
      <c r="W9" s="1454">
        <v>2</v>
      </c>
    </row>
    <row r="10" spans="3:23" ht="16.5">
      <c r="C10" s="1642" t="s">
        <v>2286</v>
      </c>
      <c r="D10" s="1643">
        <f ca="1">IFERROR(ABS(Indexador!$D$49)*'Tributos suprimento'!$D$41*H2,0)</f>
        <v>169126.08284750505</v>
      </c>
      <c r="E10" s="1620">
        <f ca="1">IF(ISERROR(D10/$D$4),0,D10/$D$4)</f>
        <v>6.116397970790814E-3</v>
      </c>
      <c r="F10" s="1608" t="s">
        <v>2235</v>
      </c>
      <c r="G10" s="1625" t="s">
        <v>2255</v>
      </c>
      <c r="H10" s="1609">
        <f>IFERROR(VLOOKUP(Financeiros[[#This Row],[Tipo]],RefTabTipo[],2,FALSE),0)</f>
        <v>22</v>
      </c>
      <c r="I10" s="1631">
        <f>IFERROR(VLOOKUP(Financeiros[[#This Row],[Tipo]],RefTabTipo[],3,FALSE),0)</f>
        <v>60</v>
      </c>
      <c r="J10" s="1610">
        <f>IFERROR(VLOOKUP(Financeiros[[#This Row],[Tipo]],RefTabTipo[],4,FALSE),0)</f>
        <v>999</v>
      </c>
      <c r="K10" s="1637">
        <f>IFERROR(VLOOKUP(Financeiros[[#This Row],[Grupo Tarifário]],RefTabGrupoTarifa[],2,FALSE),0)</f>
        <v>2</v>
      </c>
      <c r="L10" s="1609">
        <f>IFERROR(VLOOKUP(Financeiros[[#This Row],[Grupo Tarifário]],RefTabGrupoTarifa[],3,FALSE),0)</f>
        <v>11</v>
      </c>
      <c r="M10" s="1637">
        <f>IFERROR(VLOOKUP(Financeiros[[#This Row],[Grupo Tarifário]],RefTabGrupoTarifa[],4,FALSE),0)</f>
        <v>9</v>
      </c>
      <c r="O10" s="1582" t="s">
        <v>2229</v>
      </c>
      <c r="P10" s="1583">
        <v>20</v>
      </c>
      <c r="Q10" s="1583">
        <v>60</v>
      </c>
      <c r="R10" s="1584">
        <v>234</v>
      </c>
      <c r="T10" s="846" t="s">
        <v>2240</v>
      </c>
      <c r="U10" s="1454">
        <v>99</v>
      </c>
      <c r="V10" s="1454">
        <v>999</v>
      </c>
      <c r="W10" s="1454">
        <v>1</v>
      </c>
    </row>
    <row r="11" spans="3:23" ht="16.5" hidden="1">
      <c r="C11" s="1642" t="s">
        <v>2287</v>
      </c>
      <c r="D11" s="1643">
        <f ca="1">IFERROR(ABS(Indexador!$D$49)*'Tributos suprimento'!$D$41*H3,0)</f>
        <v>0</v>
      </c>
      <c r="E11" s="1620">
        <f t="shared" ref="E11:E14" ca="1" si="0">IF(ISERROR(D11/$D$4),0,D11/$D$4)</f>
        <v>0</v>
      </c>
      <c r="F11" s="1608" t="s">
        <v>2235</v>
      </c>
      <c r="G11" s="1625" t="s">
        <v>2257</v>
      </c>
      <c r="H11" s="1609">
        <f>IFERROR(VLOOKUP(Financeiros[[#This Row],[Tipo]],RefTabTipo[],2,FALSE),0)</f>
        <v>22</v>
      </c>
      <c r="I11" s="1631">
        <f>IFERROR(VLOOKUP(Financeiros[[#This Row],[Tipo]],RefTabTipo[],3,FALSE),0)</f>
        <v>60</v>
      </c>
      <c r="J11" s="1610">
        <f>IFERROR(VLOOKUP(Financeiros[[#This Row],[Tipo]],RefTabTipo[],4,FALSE),0)</f>
        <v>999</v>
      </c>
      <c r="K11" s="1637">
        <f>IFERROR(VLOOKUP(Financeiros[[#This Row],[Grupo Tarifário]],RefTabGrupoTarifa[],2,FALSE),0)</f>
        <v>2</v>
      </c>
      <c r="L11" s="1609">
        <f>IFERROR(VLOOKUP(Financeiros[[#This Row],[Grupo Tarifário]],RefTabGrupoTarifa[],3,FALSE),0)</f>
        <v>9</v>
      </c>
      <c r="M11" s="1637">
        <f>IFERROR(VLOOKUP(Financeiros[[#This Row],[Grupo Tarifário]],RefTabGrupoTarifa[],4,FALSE),0)</f>
        <v>9</v>
      </c>
      <c r="O11" s="1582" t="s">
        <v>2230</v>
      </c>
      <c r="P11" s="1583">
        <v>22</v>
      </c>
      <c r="Q11" s="1583">
        <v>60</v>
      </c>
      <c r="R11" s="1584">
        <v>167</v>
      </c>
      <c r="T11" s="846" t="s">
        <v>2241</v>
      </c>
      <c r="U11" s="1454">
        <v>99</v>
      </c>
      <c r="V11" s="1454">
        <v>999</v>
      </c>
      <c r="W11" s="1454">
        <v>3</v>
      </c>
    </row>
    <row r="12" spans="3:23" ht="16.5">
      <c r="C12" s="1642" t="s">
        <v>2288</v>
      </c>
      <c r="D12" s="1643">
        <f ca="1">IFERROR(ABS(Indexador!$D$49)*'Tributos suprimento'!$D$41*H4,0)</f>
        <v>19461.060916527651</v>
      </c>
      <c r="E12" s="1620">
        <f t="shared" ca="1" si="0"/>
        <v>7.0380388107618317E-4</v>
      </c>
      <c r="F12" s="1608" t="s">
        <v>2235</v>
      </c>
      <c r="G12" s="1625" t="s">
        <v>2260</v>
      </c>
      <c r="H12" s="1609">
        <f>IFERROR(VLOOKUP(Financeiros[[#This Row],[Tipo]],RefTabTipo[],2,FALSE),0)</f>
        <v>22</v>
      </c>
      <c r="I12" s="1631">
        <f>IFERROR(VLOOKUP(Financeiros[[#This Row],[Tipo]],RefTabTipo[],3,FALSE),0)</f>
        <v>60</v>
      </c>
      <c r="J12" s="1610">
        <f>IFERROR(VLOOKUP(Financeiros[[#This Row],[Tipo]],RefTabTipo[],4,FALSE),0)</f>
        <v>999</v>
      </c>
      <c r="K12" s="1637">
        <f>IFERROR(VLOOKUP(Financeiros[[#This Row],[Grupo Tarifário]],RefTabGrupoTarifa[],2,FALSE),0)</f>
        <v>2</v>
      </c>
      <c r="L12" s="1609">
        <f>IFERROR(VLOOKUP(Financeiros[[#This Row],[Grupo Tarifário]],RefTabGrupoTarifa[],3,FALSE),0)</f>
        <v>8</v>
      </c>
      <c r="M12" s="1637">
        <f>IFERROR(VLOOKUP(Financeiros[[#This Row],[Grupo Tarifário]],RefTabGrupoTarifa[],4,FALSE),0)</f>
        <v>9</v>
      </c>
      <c r="O12" s="1582" t="s">
        <v>2231</v>
      </c>
      <c r="P12" s="1583">
        <v>22</v>
      </c>
      <c r="Q12" s="1583">
        <v>60</v>
      </c>
      <c r="R12" s="1584">
        <v>241</v>
      </c>
      <c r="T12" s="846" t="s">
        <v>2242</v>
      </c>
      <c r="U12" s="846">
        <v>3</v>
      </c>
      <c r="V12" s="846">
        <v>17</v>
      </c>
      <c r="W12" s="846">
        <v>9</v>
      </c>
    </row>
    <row r="13" spans="3:23" ht="16.5" hidden="1">
      <c r="C13" s="1642" t="s">
        <v>2289</v>
      </c>
      <c r="D13" s="1643">
        <f ca="1">IFERROR(ABS(Indexador!$D$49)*'Tributos suprimento'!$D$41*H5,0)</f>
        <v>0</v>
      </c>
      <c r="E13" s="1620">
        <f t="shared" ca="1" si="0"/>
        <v>0</v>
      </c>
      <c r="F13" s="1608" t="s">
        <v>2235</v>
      </c>
      <c r="G13" s="1625" t="s">
        <v>2258</v>
      </c>
      <c r="H13" s="1609">
        <f>IFERROR(VLOOKUP(Financeiros[[#This Row],[Tipo]],RefTabTipo[],2,FALSE),0)</f>
        <v>22</v>
      </c>
      <c r="I13" s="1631">
        <f>IFERROR(VLOOKUP(Financeiros[[#This Row],[Tipo]],RefTabTipo[],3,FALSE),0)</f>
        <v>60</v>
      </c>
      <c r="J13" s="1610">
        <f>IFERROR(VLOOKUP(Financeiros[[#This Row],[Tipo]],RefTabTipo[],4,FALSE),0)</f>
        <v>999</v>
      </c>
      <c r="K13" s="1637">
        <f>IFERROR(VLOOKUP(Financeiros[[#This Row],[Grupo Tarifário]],RefTabGrupoTarifa[],2,FALSE),0)</f>
        <v>2</v>
      </c>
      <c r="L13" s="1609">
        <f>IFERROR(VLOOKUP(Financeiros[[#This Row],[Grupo Tarifário]],RefTabGrupoTarifa[],3,FALSE),0)</f>
        <v>10</v>
      </c>
      <c r="M13" s="1637">
        <f>IFERROR(VLOOKUP(Financeiros[[#This Row],[Grupo Tarifário]],RefTabGrupoTarifa[],4,FALSE),0)</f>
        <v>9</v>
      </c>
      <c r="O13" s="1582" t="s">
        <v>2232</v>
      </c>
      <c r="P13" s="1583">
        <v>22</v>
      </c>
      <c r="Q13" s="1583">
        <v>60</v>
      </c>
      <c r="R13" s="1584">
        <v>120</v>
      </c>
      <c r="T13" s="846" t="s">
        <v>2243</v>
      </c>
      <c r="U13" s="846">
        <v>3</v>
      </c>
      <c r="V13" s="846">
        <v>13</v>
      </c>
      <c r="W13" s="846">
        <v>9</v>
      </c>
    </row>
    <row r="14" spans="3:23" ht="16.5" hidden="1">
      <c r="C14" s="1642" t="s">
        <v>2290</v>
      </c>
      <c r="D14" s="1643">
        <f ca="1">IFERROR(ABS(Indexador!$D$49)*'Tributos suprimento'!$D$41*H6,0)</f>
        <v>0</v>
      </c>
      <c r="E14" s="1620">
        <f t="shared" ca="1" si="0"/>
        <v>0</v>
      </c>
      <c r="F14" s="1608" t="s">
        <v>2235</v>
      </c>
      <c r="G14" s="1625" t="s">
        <v>2259</v>
      </c>
      <c r="H14" s="1609">
        <f>IFERROR(VLOOKUP(Financeiros[[#This Row],[Tipo]],RefTabTipo[],2,FALSE),0)</f>
        <v>22</v>
      </c>
      <c r="I14" s="1631">
        <f>IFERROR(VLOOKUP(Financeiros[[#This Row],[Tipo]],RefTabTipo[],3,FALSE),0)</f>
        <v>60</v>
      </c>
      <c r="J14" s="1610">
        <f>IFERROR(VLOOKUP(Financeiros[[#This Row],[Tipo]],RefTabTipo[],4,FALSE),0)</f>
        <v>999</v>
      </c>
      <c r="K14" s="1637">
        <f>IFERROR(VLOOKUP(Financeiros[[#This Row],[Grupo Tarifário]],RefTabGrupoTarifa[],2,FALSE),0)</f>
        <v>2</v>
      </c>
      <c r="L14" s="1609">
        <f>IFERROR(VLOOKUP(Financeiros[[#This Row],[Grupo Tarifário]],RefTabGrupoTarifa[],3,FALSE),0)</f>
        <v>24</v>
      </c>
      <c r="M14" s="1637">
        <f>IFERROR(VLOOKUP(Financeiros[[#This Row],[Grupo Tarifário]],RefTabGrupoTarifa[],4,FALSE),0)</f>
        <v>9</v>
      </c>
      <c r="O14" s="1582" t="s">
        <v>2233</v>
      </c>
      <c r="P14" s="1583">
        <v>22</v>
      </c>
      <c r="Q14" s="1583">
        <v>60</v>
      </c>
      <c r="R14" s="1584">
        <v>240</v>
      </c>
      <c r="T14" s="846" t="s">
        <v>2244</v>
      </c>
      <c r="U14" s="846">
        <v>3</v>
      </c>
      <c r="V14" s="846">
        <v>25</v>
      </c>
      <c r="W14" s="846">
        <v>9</v>
      </c>
    </row>
    <row r="15" spans="3:23" ht="16.5">
      <c r="C15" s="1615" t="str">
        <f>"(Neutralidade) "&amp;Encargos!L31</f>
        <v>(Neutralidade) TFSEE</v>
      </c>
      <c r="D15" s="1611">
        <f ca="1">Encargos!$M$31</f>
        <v>-631.8579431823332</v>
      </c>
      <c r="E15" s="1618">
        <f t="shared" ref="E15" ca="1" si="1">IF(ISERROR(D15/$D$4),0,D15/$D$4)</f>
        <v>-2.2850967612092911E-5</v>
      </c>
      <c r="F15" s="1612" t="s">
        <v>107</v>
      </c>
      <c r="G15" s="1623" t="s">
        <v>2254</v>
      </c>
      <c r="H15" s="1613">
        <f>IFERROR(VLOOKUP(Financeiros[[#This Row],[Tipo]],RefTabTipo[],2,FALSE),0)</f>
        <v>20</v>
      </c>
      <c r="I15" s="1629">
        <f>IFERROR(VLOOKUP(Financeiros[[#This Row],[Tipo]],RefTabTipo[],3,FALSE),0)</f>
        <v>60</v>
      </c>
      <c r="J15" s="1614">
        <f>IFERROR(VLOOKUP(Financeiros[[#This Row],[Tipo]],RefTabTipo[],4,FALSE),0)</f>
        <v>999</v>
      </c>
      <c r="K15" s="1636">
        <f>IFERROR(VLOOKUP(Financeiros[[#This Row],[Grupo Tarifário]],RefTabGrupoTarifa[],2,FALSE),0)</f>
        <v>3</v>
      </c>
      <c r="L15" s="1613">
        <f>IFERROR(VLOOKUP(Financeiros[[#This Row],[Grupo Tarifário]],RefTabGrupoTarifa[],3,FALSE),0)</f>
        <v>14</v>
      </c>
      <c r="M15" s="1636">
        <f>IFERROR(VLOOKUP(Financeiros[[#This Row],[Grupo Tarifário]],RefTabGrupoTarifa[],4,FALSE),0)</f>
        <v>9</v>
      </c>
      <c r="O15" s="1582" t="s">
        <v>2234</v>
      </c>
      <c r="P15" s="1583">
        <v>22</v>
      </c>
      <c r="Q15" s="1583">
        <v>60</v>
      </c>
      <c r="R15" s="1584">
        <v>179</v>
      </c>
      <c r="T15" s="846" t="s">
        <v>2245</v>
      </c>
      <c r="U15" s="846">
        <v>3</v>
      </c>
      <c r="V15" s="846">
        <v>15</v>
      </c>
      <c r="W15" s="846">
        <v>9</v>
      </c>
    </row>
    <row r="16" spans="3:23" ht="16.5">
      <c r="C16" s="1615" t="str">
        <f>"(Neutralidade) "&amp;Encargos!L32</f>
        <v>(Neutralidade) CDE</v>
      </c>
      <c r="D16" s="1611">
        <f ca="1">IFERROR(Encargos!$M$32,0)</f>
        <v>-29649.206855117383</v>
      </c>
      <c r="E16" s="1618">
        <f ca="1">IF(ISERROR(D16/$D$4),0,D16/$D$4)</f>
        <v>-1.0722553587888073E-3</v>
      </c>
      <c r="F16" s="1612" t="s">
        <v>107</v>
      </c>
      <c r="G16" s="1623" t="s">
        <v>2245</v>
      </c>
      <c r="H16" s="1613">
        <f>IFERROR(VLOOKUP(Financeiros[[#This Row],[Tipo]],RefTabTipo[],2,FALSE),0)</f>
        <v>20</v>
      </c>
      <c r="I16" s="1629">
        <f>IFERROR(VLOOKUP(Financeiros[[#This Row],[Tipo]],RefTabTipo[],3,FALSE),0)</f>
        <v>60</v>
      </c>
      <c r="J16" s="1614">
        <f>IFERROR(VLOOKUP(Financeiros[[#This Row],[Tipo]],RefTabTipo[],4,FALSE),0)</f>
        <v>999</v>
      </c>
      <c r="K16" s="1636">
        <f>IFERROR(VLOOKUP(Financeiros[[#This Row],[Grupo Tarifário]],RefTabGrupoTarifa[],2,FALSE),0)</f>
        <v>3</v>
      </c>
      <c r="L16" s="1613">
        <f>IFERROR(VLOOKUP(Financeiros[[#This Row],[Grupo Tarifário]],RefTabGrupoTarifa[],3,FALSE),0)</f>
        <v>15</v>
      </c>
      <c r="M16" s="1636">
        <f>IFERROR(VLOOKUP(Financeiros[[#This Row],[Grupo Tarifário]],RefTabGrupoTarifa[],4,FALSE),0)</f>
        <v>9</v>
      </c>
      <c r="O16" s="1582" t="s">
        <v>2235</v>
      </c>
      <c r="P16" s="1583">
        <v>22</v>
      </c>
      <c r="Q16" s="1583">
        <v>60</v>
      </c>
      <c r="R16" s="1584">
        <v>999</v>
      </c>
      <c r="T16" s="846" t="s">
        <v>2246</v>
      </c>
      <c r="U16" s="1454">
        <v>3</v>
      </c>
      <c r="V16" s="1454">
        <v>25</v>
      </c>
      <c r="W16" s="1454">
        <v>9</v>
      </c>
    </row>
    <row r="17" spans="3:23" ht="16.5" hidden="1">
      <c r="C17" s="1615" t="str">
        <f>"(Neutralidade) "&amp;Encargos!L33</f>
        <v>(Neutralidade) CFURH</v>
      </c>
      <c r="D17" s="1611">
        <f>Encargos!$M$33</f>
        <v>0</v>
      </c>
      <c r="E17" s="1618">
        <f t="shared" ref="E17" ca="1" si="2">IF(ISERROR(D17/$D$4),0,D17/$D$4)</f>
        <v>0</v>
      </c>
      <c r="F17" s="1612" t="s">
        <v>107</v>
      </c>
      <c r="G17" s="1623" t="s">
        <v>2249</v>
      </c>
      <c r="H17" s="1613">
        <f>IFERROR(VLOOKUP(Financeiros[[#This Row],[Tipo]],RefTabTipo[],2,FALSE),0)</f>
        <v>20</v>
      </c>
      <c r="I17" s="1629">
        <f>IFERROR(VLOOKUP(Financeiros[[#This Row],[Tipo]],RefTabTipo[],3,FALSE),0)</f>
        <v>60</v>
      </c>
      <c r="J17" s="1614">
        <f>IFERROR(VLOOKUP(Financeiros[[#This Row],[Tipo]],RefTabTipo[],4,FALSE),0)</f>
        <v>999</v>
      </c>
      <c r="K17" s="1636">
        <f>IFERROR(VLOOKUP(Financeiros[[#This Row],[Grupo Tarifário]],RefTabGrupoTarifa[],2,FALSE),0)</f>
        <v>3</v>
      </c>
      <c r="L17" s="1613">
        <f>IFERROR(VLOOKUP(Financeiros[[#This Row],[Grupo Tarifário]],RefTabGrupoTarifa[],3,FALSE),0)</f>
        <v>16</v>
      </c>
      <c r="M17" s="1636">
        <f>IFERROR(VLOOKUP(Financeiros[[#This Row],[Grupo Tarifário]],RefTabGrupoTarifa[],4,FALSE),0)</f>
        <v>9</v>
      </c>
      <c r="O17" s="1582" t="s">
        <v>107</v>
      </c>
      <c r="P17" s="1583">
        <v>20</v>
      </c>
      <c r="Q17" s="1583">
        <v>60</v>
      </c>
      <c r="R17" s="1584">
        <v>999</v>
      </c>
      <c r="T17" s="846" t="s">
        <v>2247</v>
      </c>
      <c r="U17" s="1454">
        <v>3</v>
      </c>
      <c r="V17" s="1454">
        <v>12</v>
      </c>
      <c r="W17" s="1454">
        <v>9</v>
      </c>
    </row>
    <row r="18" spans="3:23" ht="16.5" hidden="1">
      <c r="C18" s="1615" t="str">
        <f>"(Neutralidade) "&amp;Encargos!L34</f>
        <v>(Neutralidade) ESS/ERR</v>
      </c>
      <c r="D18" s="1611">
        <f ca="1">Encargos!$M$34</f>
        <v>0</v>
      </c>
      <c r="E18" s="1618">
        <f t="shared" ref="E18:E20" ca="1" si="3">IF(ISERROR(D18/$D$4),0,D18/$D$4)</f>
        <v>0</v>
      </c>
      <c r="F18" s="1612" t="s">
        <v>107</v>
      </c>
      <c r="G18" s="1623" t="s">
        <v>2242</v>
      </c>
      <c r="H18" s="1613">
        <f>IFERROR(VLOOKUP(Financeiros[[#This Row],[Tipo]],RefTabTipo[],2,FALSE),0)</f>
        <v>20</v>
      </c>
      <c r="I18" s="1629">
        <f>IFERROR(VLOOKUP(Financeiros[[#This Row],[Tipo]],RefTabTipo[],3,FALSE),0)</f>
        <v>60</v>
      </c>
      <c r="J18" s="1614">
        <f>IFERROR(VLOOKUP(Financeiros[[#This Row],[Tipo]],RefTabTipo[],4,FALSE),0)</f>
        <v>999</v>
      </c>
      <c r="K18" s="1636">
        <f>IFERROR(VLOOKUP(Financeiros[[#This Row],[Grupo Tarifário]],RefTabGrupoTarifa[],2,FALSE),0)</f>
        <v>3</v>
      </c>
      <c r="L18" s="1613">
        <f>IFERROR(VLOOKUP(Financeiros[[#This Row],[Grupo Tarifário]],RefTabGrupoTarifa[],3,FALSE),0)</f>
        <v>17</v>
      </c>
      <c r="M18" s="1636">
        <f>IFERROR(VLOOKUP(Financeiros[[#This Row],[Grupo Tarifário]],RefTabGrupoTarifa[],4,FALSE),0)</f>
        <v>9</v>
      </c>
      <c r="O18" s="1582" t="s">
        <v>2236</v>
      </c>
      <c r="P18" s="1583">
        <v>20</v>
      </c>
      <c r="Q18" s="1583">
        <v>60</v>
      </c>
      <c r="R18" s="1584">
        <v>179</v>
      </c>
      <c r="T18" s="846" t="s">
        <v>2248</v>
      </c>
      <c r="U18" s="1454">
        <v>3</v>
      </c>
      <c r="V18" s="1454">
        <v>28</v>
      </c>
      <c r="W18" s="1454">
        <v>9</v>
      </c>
    </row>
    <row r="19" spans="3:23" ht="16.5">
      <c r="C19" s="1615" t="str">
        <f>"(Neutralidade) "&amp;Encargos!L35</f>
        <v>(Neutralidade) PROINFA</v>
      </c>
      <c r="D19" s="1611">
        <f ca="1">Encargos!$M$35</f>
        <v>-5292.8430167260067</v>
      </c>
      <c r="E19" s="1618">
        <f t="shared" ca="1" si="3"/>
        <v>-1.9141420260059461E-4</v>
      </c>
      <c r="F19" s="1612" t="s">
        <v>107</v>
      </c>
      <c r="G19" s="1623" t="s">
        <v>2252</v>
      </c>
      <c r="H19" s="1613">
        <f>IFERROR(VLOOKUP(Financeiros[[#This Row],[Tipo]],RefTabTipo[],2,FALSE),0)</f>
        <v>20</v>
      </c>
      <c r="I19" s="1629">
        <f>IFERROR(VLOOKUP(Financeiros[[#This Row],[Tipo]],RefTabTipo[],3,FALSE),0)</f>
        <v>60</v>
      </c>
      <c r="J19" s="1614">
        <f>IFERROR(VLOOKUP(Financeiros[[#This Row],[Tipo]],RefTabTipo[],4,FALSE),0)</f>
        <v>999</v>
      </c>
      <c r="K19" s="1636">
        <f>IFERROR(VLOOKUP(Financeiros[[#This Row],[Grupo Tarifário]],RefTabGrupoTarifa[],2,FALSE),0)</f>
        <v>3</v>
      </c>
      <c r="L19" s="1613">
        <f>IFERROR(VLOOKUP(Financeiros[[#This Row],[Grupo Tarifário]],RefTabGrupoTarifa[],3,FALSE),0)</f>
        <v>18</v>
      </c>
      <c r="M19" s="1636">
        <f>IFERROR(VLOOKUP(Financeiros[[#This Row],[Grupo Tarifário]],RefTabGrupoTarifa[],4,FALSE),0)</f>
        <v>9</v>
      </c>
      <c r="O19" s="68" t="s">
        <v>2276</v>
      </c>
      <c r="P19" s="1654">
        <v>22</v>
      </c>
      <c r="Q19" s="1654">
        <v>60</v>
      </c>
      <c r="R19" s="1654">
        <v>220</v>
      </c>
      <c r="T19" s="846" t="s">
        <v>2249</v>
      </c>
      <c r="U19" s="846">
        <v>3</v>
      </c>
      <c r="V19" s="846">
        <v>16</v>
      </c>
      <c r="W19" s="846">
        <v>9</v>
      </c>
    </row>
    <row r="20" spans="3:23" ht="16.5" hidden="1">
      <c r="C20" s="1615" t="str">
        <f>"(Neutralidade) "&amp;Encargos!L36</f>
        <v>(Neutralidade) CDE COVID</v>
      </c>
      <c r="D20" s="1611">
        <f ca="1">Encargos!$M$36</f>
        <v>0</v>
      </c>
      <c r="E20" s="1618">
        <f t="shared" ca="1" si="3"/>
        <v>0</v>
      </c>
      <c r="F20" s="1612" t="s">
        <v>107</v>
      </c>
      <c r="G20" s="1623" t="s">
        <v>2247</v>
      </c>
      <c r="H20" s="1613">
        <f>IFERROR(VLOOKUP(Financeiros[[#This Row],[Tipo]],RefTabTipo[],2,FALSE),0)</f>
        <v>20</v>
      </c>
      <c r="I20" s="1629">
        <f>IFERROR(VLOOKUP(Financeiros[[#This Row],[Tipo]],RefTabTipo[],3,FALSE),0)</f>
        <v>60</v>
      </c>
      <c r="J20" s="1614">
        <f>IFERROR(VLOOKUP(Financeiros[[#This Row],[Tipo]],RefTabTipo[],4,FALSE),0)</f>
        <v>999</v>
      </c>
      <c r="K20" s="1636">
        <f>IFERROR(VLOOKUP(Financeiros[[#This Row],[Grupo Tarifário]],RefTabGrupoTarifa[],2,FALSE),0)</f>
        <v>3</v>
      </c>
      <c r="L20" s="1613">
        <f>IFERROR(VLOOKUP(Financeiros[[#This Row],[Grupo Tarifário]],RefTabGrupoTarifa[],3,FALSE),0)</f>
        <v>12</v>
      </c>
      <c r="M20" s="1636">
        <f>IFERROR(VLOOKUP(Financeiros[[#This Row],[Grupo Tarifário]],RefTabGrupoTarifa[],4,FALSE),0)</f>
        <v>9</v>
      </c>
      <c r="O20" s="1655" t="s">
        <v>2237</v>
      </c>
      <c r="P20" s="1656">
        <v>22</v>
      </c>
      <c r="Q20" s="1656">
        <v>60</v>
      </c>
      <c r="R20" s="1656">
        <v>178</v>
      </c>
      <c r="T20" s="846" t="s">
        <v>2250</v>
      </c>
      <c r="U20" s="846">
        <v>3</v>
      </c>
      <c r="V20" s="846">
        <v>20</v>
      </c>
      <c r="W20" s="846">
        <v>9</v>
      </c>
    </row>
    <row r="21" spans="3:23" ht="16.5" hidden="1">
      <c r="C21" s="1615" t="str">
        <f>"(Neutralidade) "&amp;Encargos!L37</f>
        <v>(Neutralidade) P&amp;D</v>
      </c>
      <c r="D21" s="1611">
        <f ca="1">Encargos!$M$37</f>
        <v>0</v>
      </c>
      <c r="E21" s="1618">
        <f t="shared" ref="E21:E23" ca="1" si="4">IF(ISERROR(D21/$D$4),0,D21/$D$4)</f>
        <v>0</v>
      </c>
      <c r="F21" s="1612" t="s">
        <v>107</v>
      </c>
      <c r="G21" s="1623" t="s">
        <v>2251</v>
      </c>
      <c r="H21" s="1613">
        <f>IFERROR(VLOOKUP(Financeiros[[#This Row],[Tipo]],RefTabTipo[],2,FALSE),0)</f>
        <v>20</v>
      </c>
      <c r="I21" s="1629">
        <f>IFERROR(VLOOKUP(Financeiros[[#This Row],[Tipo]],RefTabTipo[],3,FALSE),0)</f>
        <v>60</v>
      </c>
      <c r="J21" s="1614">
        <f>IFERROR(VLOOKUP(Financeiros[[#This Row],[Tipo]],RefTabTipo[],4,FALSE),0)</f>
        <v>999</v>
      </c>
      <c r="K21" s="1636">
        <f>IFERROR(VLOOKUP(Financeiros[[#This Row],[Grupo Tarifário]],RefTabGrupoTarifa[],2,FALSE),0)</f>
        <v>3</v>
      </c>
      <c r="L21" s="1613">
        <f>IFERROR(VLOOKUP(Financeiros[[#This Row],[Grupo Tarifário]],RefTabGrupoTarifa[],3,FALSE),0)</f>
        <v>19</v>
      </c>
      <c r="M21" s="1636">
        <f>IFERROR(VLOOKUP(Financeiros[[#This Row],[Grupo Tarifário]],RefTabGrupoTarifa[],4,FALSE),0)</f>
        <v>9</v>
      </c>
      <c r="O21" s="1655" t="s">
        <v>1303</v>
      </c>
      <c r="P21" s="1656">
        <v>22</v>
      </c>
      <c r="Q21" s="1656">
        <v>62</v>
      </c>
      <c r="R21" s="1656">
        <v>220</v>
      </c>
      <c r="T21" s="846" t="s">
        <v>2251</v>
      </c>
      <c r="U21" s="846">
        <v>3</v>
      </c>
      <c r="V21" s="846">
        <v>19</v>
      </c>
      <c r="W21" s="846">
        <v>9</v>
      </c>
    </row>
    <row r="22" spans="3:23" ht="16.5" hidden="1">
      <c r="C22" s="1615" t="str">
        <f>"(Neutralidade)" &amp; Encargos!L41</f>
        <v>(Neutralidade)Financeiro Covid</v>
      </c>
      <c r="D22" s="1611">
        <f ca="1">Encargos!$M$41</f>
        <v>0</v>
      </c>
      <c r="E22" s="1618">
        <f t="shared" ca="1" si="4"/>
        <v>0</v>
      </c>
      <c r="F22" s="1612" t="s">
        <v>107</v>
      </c>
      <c r="G22" s="1623" t="s">
        <v>104</v>
      </c>
      <c r="H22" s="1613">
        <f>IFERROR(VLOOKUP(Financeiros[[#This Row],[Tipo]],RefTabTipo[],2,FALSE),0)</f>
        <v>20</v>
      </c>
      <c r="I22" s="1629">
        <f>IFERROR(VLOOKUP(Financeiros[[#This Row],[Tipo]],RefTabTipo[],3,FALSE),0)</f>
        <v>60</v>
      </c>
      <c r="J22" s="1614">
        <f>IFERROR(VLOOKUP(Financeiros[[#This Row],[Tipo]],RefTabTipo[],4,FALSE),0)</f>
        <v>999</v>
      </c>
      <c r="K22" s="1636">
        <f>IFERROR(VLOOKUP(Financeiros[[#This Row],[Grupo Tarifário]],RefTabGrupoTarifa[],2,FALSE),0)</f>
        <v>4</v>
      </c>
      <c r="L22" s="1613">
        <f>IFERROR(VLOOKUP(Financeiros[[#This Row],[Grupo Tarifário]],RefTabGrupoTarifa[],3,FALSE),0)</f>
        <v>999</v>
      </c>
      <c r="M22" s="1636">
        <f>IFERROR(VLOOKUP(Financeiros[[#This Row],[Grupo Tarifário]],RefTabGrupoTarifa[],4,FALSE),0)</f>
        <v>9</v>
      </c>
      <c r="O22" s="1582" t="s">
        <v>2238</v>
      </c>
      <c r="P22" s="1585">
        <v>22</v>
      </c>
      <c r="Q22" s="1585">
        <v>60</v>
      </c>
      <c r="R22" s="1585">
        <v>106</v>
      </c>
      <c r="T22" s="846" t="s">
        <v>2252</v>
      </c>
      <c r="U22" s="846">
        <v>3</v>
      </c>
      <c r="V22" s="846">
        <v>18</v>
      </c>
      <c r="W22" s="846">
        <v>9</v>
      </c>
    </row>
    <row r="23" spans="3:23" ht="16.5" hidden="1">
      <c r="C23" s="1615" t="str">
        <f>"(Neutralidade)" &amp; Encargos!L42</f>
        <v>(Neutralidade)Crédito Pis Cofins</v>
      </c>
      <c r="D23" s="1611">
        <f ca="1">Encargos!$M$42</f>
        <v>0</v>
      </c>
      <c r="E23" s="1618">
        <f t="shared" ca="1" si="4"/>
        <v>0</v>
      </c>
      <c r="F23" s="1612" t="s">
        <v>2236</v>
      </c>
      <c r="G23" s="1623" t="s">
        <v>2241</v>
      </c>
      <c r="H23" s="1613">
        <f>IFERROR(VLOOKUP(Financeiros[[#This Row],[Tipo]],RefTabTipo[],2,FALSE),0)</f>
        <v>20</v>
      </c>
      <c r="I23" s="1629">
        <f>IFERROR(VLOOKUP(Financeiros[[#This Row],[Tipo]],RefTabTipo[],3,FALSE),0)</f>
        <v>60</v>
      </c>
      <c r="J23" s="1614">
        <f>IFERROR(VLOOKUP(Financeiros[[#This Row],[Tipo]],RefTabTipo[],4,FALSE),0)</f>
        <v>179</v>
      </c>
      <c r="K23" s="1636">
        <f>IFERROR(VLOOKUP(Financeiros[[#This Row],[Grupo Tarifário]],RefTabGrupoTarifa[],2,FALSE),0)</f>
        <v>99</v>
      </c>
      <c r="L23" s="1613">
        <f>IFERROR(VLOOKUP(Financeiros[[#This Row],[Grupo Tarifário]],RefTabGrupoTarifa[],3,FALSE),0)</f>
        <v>999</v>
      </c>
      <c r="M23" s="1636">
        <f>IFERROR(VLOOKUP(Financeiros[[#This Row],[Grupo Tarifário]],RefTabGrupoTarifa[],4,FALSE),0)</f>
        <v>3</v>
      </c>
      <c r="O23" s="68" t="s">
        <v>2422</v>
      </c>
      <c r="P23" s="68">
        <v>22</v>
      </c>
      <c r="Q23" s="68">
        <v>60</v>
      </c>
      <c r="R23" s="68">
        <v>242</v>
      </c>
      <c r="T23" s="846" t="s">
        <v>2253</v>
      </c>
      <c r="U23" s="846">
        <v>3</v>
      </c>
      <c r="V23" s="846">
        <v>12</v>
      </c>
      <c r="W23" s="846">
        <v>9</v>
      </c>
    </row>
    <row r="24" spans="3:23" ht="16.5" hidden="1">
      <c r="C24" s="1644" t="s">
        <v>1289</v>
      </c>
      <c r="D24" s="1645">
        <f>IFERROR((Indexador!J49+Indexador!P49)*Resultado!D25/(Resultado!D25+Resultado!D26),0)</f>
        <v>0</v>
      </c>
      <c r="E24" s="1646">
        <f ca="1">IF(ISERROR(D24/$D$4),0,D24/$D$4)</f>
        <v>0</v>
      </c>
      <c r="F24" s="1647" t="s">
        <v>2235</v>
      </c>
      <c r="G24" s="1648" t="s">
        <v>2270</v>
      </c>
      <c r="H24" s="1649">
        <f>IFERROR(VLOOKUP(Financeiros[[#This Row],[Tipo]],RefTabTipo[],2,FALSE),0)</f>
        <v>22</v>
      </c>
      <c r="I24" s="1650">
        <f>IFERROR(VLOOKUP(Financeiros[[#This Row],[Tipo]],RefTabTipo[],3,FALSE),0)</f>
        <v>60</v>
      </c>
      <c r="J24" s="1651">
        <f>IFERROR(VLOOKUP(Financeiros[[#This Row],[Tipo]],RefTabTipo[],4,FALSE),0)</f>
        <v>999</v>
      </c>
      <c r="K24" s="1652">
        <f>IFERROR(VLOOKUP(Financeiros[[#This Row],[Grupo Tarifário]],RefTabGrupoTarifa[],2,FALSE),0)</f>
        <v>1</v>
      </c>
      <c r="L24" s="1649">
        <f>IFERROR(VLOOKUP(Financeiros[[#This Row],[Grupo Tarifário]],RefTabGrupoTarifa[],3,FALSE),0)</f>
        <v>1</v>
      </c>
      <c r="M24" s="1652">
        <f>IFERROR(VLOOKUP(Financeiros[[#This Row],[Grupo Tarifário]],RefTabGrupoTarifa[],4,FALSE),0)</f>
        <v>9</v>
      </c>
      <c r="T24" s="846" t="s">
        <v>2254</v>
      </c>
      <c r="U24" s="846">
        <v>3</v>
      </c>
      <c r="V24" s="846">
        <v>14</v>
      </c>
      <c r="W24" s="846">
        <v>9</v>
      </c>
    </row>
    <row r="25" spans="3:23" ht="16.5" hidden="1">
      <c r="C25" s="1644" t="s">
        <v>1290</v>
      </c>
      <c r="D25" s="1645">
        <f>IFERROR((Indexador!J49+Indexador!P49)*Resultado!D26/(Resultado!D25+Resultado!D26),0)</f>
        <v>0</v>
      </c>
      <c r="E25" s="1646">
        <f ca="1">IF(ISERROR(D25/$D$4),0,D25/$D$4)</f>
        <v>0</v>
      </c>
      <c r="F25" s="1647" t="s">
        <v>2235</v>
      </c>
      <c r="G25" s="1648" t="s">
        <v>2269</v>
      </c>
      <c r="H25" s="1649">
        <f>IFERROR(VLOOKUP(Financeiros[[#This Row],[Tipo]],RefTabTipo[],2,FALSE),0)</f>
        <v>22</v>
      </c>
      <c r="I25" s="1650">
        <f>IFERROR(VLOOKUP(Financeiros[[#This Row],[Tipo]],RefTabTipo[],3,FALSE),0)</f>
        <v>60</v>
      </c>
      <c r="J25" s="1651">
        <f>IFERROR(VLOOKUP(Financeiros[[#This Row],[Tipo]],RefTabTipo[],4,FALSE),0)</f>
        <v>999</v>
      </c>
      <c r="K25" s="1652">
        <f>IFERROR(VLOOKUP(Financeiros[[#This Row],[Grupo Tarifário]],RefTabGrupoTarifa[],2,FALSE),0)</f>
        <v>1</v>
      </c>
      <c r="L25" s="1649">
        <f>IFERROR(VLOOKUP(Financeiros[[#This Row],[Grupo Tarifário]],RefTabGrupoTarifa[],3,FALSE),0)</f>
        <v>2</v>
      </c>
      <c r="M25" s="1652">
        <f>IFERROR(VLOOKUP(Financeiros[[#This Row],[Grupo Tarifário]],RefTabGrupoTarifa[],4,FALSE),0)</f>
        <v>9</v>
      </c>
      <c r="T25" s="846" t="s">
        <v>2255</v>
      </c>
      <c r="U25" s="846">
        <v>2</v>
      </c>
      <c r="V25" s="846">
        <v>11</v>
      </c>
      <c r="W25" s="846">
        <v>9</v>
      </c>
    </row>
    <row r="26" spans="3:23" ht="16.5" hidden="1">
      <c r="C26" s="1657" t="s">
        <v>1291</v>
      </c>
      <c r="D26" s="1658">
        <v>0</v>
      </c>
      <c r="E26" s="1622">
        <f t="shared" ref="E26:E27" ca="1" si="5">IF(ISERROR(D26/$D$4),0,D26/$D$4)</f>
        <v>0</v>
      </c>
      <c r="F26" s="1602" t="s">
        <v>2230</v>
      </c>
      <c r="G26" s="1627" t="s">
        <v>104</v>
      </c>
      <c r="H26" s="1603">
        <f>IFERROR(VLOOKUP(Financeiros[[#This Row],[Tipo]],RefTabTipo[],2,FALSE),0)</f>
        <v>22</v>
      </c>
      <c r="I26" s="1633">
        <f>IFERROR(VLOOKUP(Financeiros[[#This Row],[Tipo]],RefTabTipo[],3,FALSE),0)</f>
        <v>60</v>
      </c>
      <c r="J26" s="1604">
        <f>IFERROR(VLOOKUP(Financeiros[[#This Row],[Tipo]],RefTabTipo[],4,FALSE),0)</f>
        <v>167</v>
      </c>
      <c r="K26" s="1639">
        <f>IFERROR(VLOOKUP(Financeiros[[#This Row],[Grupo Tarifário]],RefTabGrupoTarifa[],2,FALSE),0)</f>
        <v>4</v>
      </c>
      <c r="L26" s="1603">
        <f>IFERROR(VLOOKUP(Financeiros[[#This Row],[Grupo Tarifário]],RefTabGrupoTarifa[],3,FALSE),0)</f>
        <v>999</v>
      </c>
      <c r="M26" s="1639">
        <f>IFERROR(VLOOKUP(Financeiros[[#This Row],[Grupo Tarifário]],RefTabGrupoTarifa[],4,FALSE),0)</f>
        <v>9</v>
      </c>
      <c r="T26" s="846" t="s">
        <v>2256</v>
      </c>
      <c r="U26" s="846">
        <v>2</v>
      </c>
      <c r="V26" s="846">
        <v>30</v>
      </c>
      <c r="W26" s="846">
        <v>9</v>
      </c>
    </row>
    <row r="27" spans="3:23" ht="16.5" hidden="1">
      <c r="C27" s="1657" t="s">
        <v>2066</v>
      </c>
      <c r="D27" s="1658"/>
      <c r="E27" s="1622">
        <f t="shared" ca="1" si="5"/>
        <v>0</v>
      </c>
      <c r="F27" s="1602" t="s">
        <v>2235</v>
      </c>
      <c r="G27" s="1627" t="s">
        <v>2248</v>
      </c>
      <c r="H27" s="1603">
        <f>IFERROR(VLOOKUP(Financeiros[[#This Row],[Tipo]],RefTabTipo[],2,FALSE),0)</f>
        <v>22</v>
      </c>
      <c r="I27" s="1633">
        <f>IFERROR(VLOOKUP(Financeiros[[#This Row],[Tipo]],RefTabTipo[],3,FALSE),0)</f>
        <v>60</v>
      </c>
      <c r="J27" s="1604">
        <f>IFERROR(VLOOKUP(Financeiros[[#This Row],[Tipo]],RefTabTipo[],4,FALSE),0)</f>
        <v>999</v>
      </c>
      <c r="K27" s="1639">
        <f>IFERROR(VLOOKUP(Financeiros[[#This Row],[Grupo Tarifário]],RefTabGrupoTarifa[],2,FALSE),0)</f>
        <v>3</v>
      </c>
      <c r="L27" s="1603">
        <f>IFERROR(VLOOKUP(Financeiros[[#This Row],[Grupo Tarifário]],RefTabGrupoTarifa[],3,FALSE),0)</f>
        <v>28</v>
      </c>
      <c r="M27" s="1639">
        <f>IFERROR(VLOOKUP(Financeiros[[#This Row],[Grupo Tarifário]],RefTabGrupoTarifa[],4,FALSE),0)</f>
        <v>9</v>
      </c>
      <c r="T27" s="846" t="s">
        <v>2257</v>
      </c>
      <c r="U27" s="846">
        <v>2</v>
      </c>
      <c r="V27" s="846">
        <v>9</v>
      </c>
      <c r="W27" s="846">
        <v>9</v>
      </c>
    </row>
    <row r="28" spans="3:23" ht="16.5" hidden="1">
      <c r="C28" s="1616" t="s">
        <v>2044</v>
      </c>
      <c r="D28" s="1444"/>
      <c r="E28" s="1619">
        <f ca="1">IF(ISERROR(D28/$D$4),0,D28/$D$4)</f>
        <v>0</v>
      </c>
      <c r="F28" s="1596" t="s">
        <v>2235</v>
      </c>
      <c r="G28" s="1624" t="s">
        <v>2256</v>
      </c>
      <c r="H28" s="1601">
        <f>IFERROR(VLOOKUP(Financeiros[[#This Row],[Tipo]],RefTabTipo[],2,FALSE),0)</f>
        <v>22</v>
      </c>
      <c r="I28" s="1630">
        <f>IFERROR(VLOOKUP(Financeiros[[#This Row],[Tipo]],RefTabTipo[],3,FALSE),0)</f>
        <v>60</v>
      </c>
      <c r="J28" s="1601">
        <f>IFERROR(VLOOKUP(Financeiros[[#This Row],[Tipo]],RefTabTipo[],4,FALSE),0)</f>
        <v>999</v>
      </c>
      <c r="K28" s="1630">
        <f>IFERROR(VLOOKUP(Financeiros[[#This Row],[Grupo Tarifário]],RefTabGrupoTarifa[],2,FALSE),0)</f>
        <v>2</v>
      </c>
      <c r="L28" s="1601">
        <f>IFERROR(VLOOKUP(Financeiros[[#This Row],[Grupo Tarifário]],RefTabGrupoTarifa[],3,FALSE),0)</f>
        <v>30</v>
      </c>
      <c r="M28" s="1630">
        <f>IFERROR(VLOOKUP(Financeiros[[#This Row],[Grupo Tarifário]],RefTabGrupoTarifa[],4,FALSE),0)</f>
        <v>9</v>
      </c>
      <c r="T28" s="846" t="s">
        <v>2258</v>
      </c>
      <c r="U28" s="846">
        <v>2</v>
      </c>
      <c r="V28" s="846">
        <v>10</v>
      </c>
      <c r="W28" s="846">
        <v>9</v>
      </c>
    </row>
    <row r="29" spans="3:23" ht="16.5" hidden="1">
      <c r="C29" s="1617" t="s">
        <v>1292</v>
      </c>
      <c r="D29" s="1444">
        <f>(Indexador!H49)</f>
        <v>0</v>
      </c>
      <c r="E29" s="1619">
        <f t="shared" ref="E29" ca="1" si="6">IF(ISERROR(D29/$D$4),0,D29/$D$4)</f>
        <v>0</v>
      </c>
      <c r="F29" s="1663" t="s">
        <v>2237</v>
      </c>
      <c r="G29" s="1664" t="s">
        <v>2267</v>
      </c>
      <c r="H29" s="1665">
        <f>IFERROR(VLOOKUP(Financeiros[[#This Row],[Tipo]],RefTabTipo[],2,FALSE),0)</f>
        <v>22</v>
      </c>
      <c r="I29" s="1630">
        <f>IFERROR(VLOOKUP(Financeiros[[#This Row],[Tipo]],RefTabTipo[],3,FALSE),0)</f>
        <v>60</v>
      </c>
      <c r="J29" s="1601">
        <f>IFERROR(VLOOKUP(Financeiros[[#This Row],[Tipo]],RefTabTipo[],4,FALSE),0)</f>
        <v>178</v>
      </c>
      <c r="K29" s="1666">
        <f>IFERROR(VLOOKUP(Financeiros[[#This Row],[Grupo Tarifário]],RefTabGrupoTarifa[],2,FALSE),0)</f>
        <v>1</v>
      </c>
      <c r="L29" s="1665">
        <f>IFERROR(VLOOKUP(Financeiros[[#This Row],[Grupo Tarifário]],RefTabGrupoTarifa[],3,FALSE),0)</f>
        <v>7</v>
      </c>
      <c r="M29" s="1666">
        <f>IFERROR(VLOOKUP(Financeiros[[#This Row],[Grupo Tarifário]],RefTabGrupoTarifa[],4,FALSE),0)</f>
        <v>9</v>
      </c>
      <c r="T29" s="846" t="s">
        <v>2259</v>
      </c>
      <c r="U29" s="846">
        <v>2</v>
      </c>
      <c r="V29" s="846">
        <v>24</v>
      </c>
      <c r="W29" s="846">
        <v>9</v>
      </c>
    </row>
    <row r="30" spans="3:23" ht="16.5">
      <c r="C30" s="1617" t="s">
        <v>1293</v>
      </c>
      <c r="D30" s="1444">
        <f ca="1">-LnkTXTISubvencaoPB</f>
        <v>-2548674.1739379396</v>
      </c>
      <c r="E30" s="1619">
        <f ca="1">IF(ISERROR(D30/$D$4),0,D30/$D$4)</f>
        <v>-9.21720960080223E-2</v>
      </c>
      <c r="F30" s="1663" t="s">
        <v>2422</v>
      </c>
      <c r="G30" s="1664" t="s">
        <v>104</v>
      </c>
      <c r="H30" s="1665">
        <f>IFERROR(VLOOKUP(Financeiros[[#This Row],[Tipo]],RefTabTipo[],2,FALSE),0)</f>
        <v>22</v>
      </c>
      <c r="I30" s="1630">
        <f>IFERROR(VLOOKUP(Financeiros[[#This Row],[Tipo]],RefTabTipo[],3,FALSE),0)</f>
        <v>60</v>
      </c>
      <c r="J30" s="1601">
        <f>IFERROR(VLOOKUP(Financeiros[[#This Row],[Tipo]],RefTabTipo[],4,FALSE),0)</f>
        <v>242</v>
      </c>
      <c r="K30" s="1666">
        <f>IFERROR(VLOOKUP(Financeiros[[#This Row],[Grupo Tarifário]],RefTabGrupoTarifa[],2,FALSE),0)</f>
        <v>4</v>
      </c>
      <c r="L30" s="1665">
        <f>IFERROR(VLOOKUP(Financeiros[[#This Row],[Grupo Tarifário]],RefTabGrupoTarifa[],3,FALSE),0)</f>
        <v>999</v>
      </c>
      <c r="M30" s="1666">
        <f>IFERROR(VLOOKUP(Financeiros[[#This Row],[Grupo Tarifário]],RefTabGrupoTarifa[],4,FALSE),0)</f>
        <v>9</v>
      </c>
      <c r="T30" s="846" t="s">
        <v>2260</v>
      </c>
      <c r="U30" s="846">
        <v>2</v>
      </c>
      <c r="V30" s="846">
        <v>8</v>
      </c>
      <c r="W30" s="846">
        <v>9</v>
      </c>
    </row>
    <row r="31" spans="3:23" ht="16.5">
      <c r="C31" s="1616" t="s">
        <v>1294</v>
      </c>
      <c r="D31" s="1444">
        <f>IFERROR(-ABS(Indexador!$L$49),0)</f>
        <v>-255991.95877886674</v>
      </c>
      <c r="E31" s="1619">
        <f t="shared" ref="E31:E32" ca="1" si="7">IF(ISERROR(D31/$D$4),0,D31/$D$4)</f>
        <v>-9.2578783287117581E-3</v>
      </c>
      <c r="F31" s="1663" t="s">
        <v>2235</v>
      </c>
      <c r="G31" s="1664" t="s">
        <v>2256</v>
      </c>
      <c r="H31" s="1665">
        <f>IFERROR(VLOOKUP(Financeiros[[#This Row],[Tipo]],RefTabTipo[],2,FALSE),0)</f>
        <v>22</v>
      </c>
      <c r="I31" s="1630">
        <f>IFERROR(VLOOKUP(Financeiros[[#This Row],[Tipo]],RefTabTipo[],3,FALSE),0)</f>
        <v>60</v>
      </c>
      <c r="J31" s="1601">
        <f>IFERROR(VLOOKUP(Financeiros[[#This Row],[Tipo]],RefTabTipo[],4,FALSE),0)</f>
        <v>999</v>
      </c>
      <c r="K31" s="1666">
        <f>IFERROR(VLOOKUP(Financeiros[[#This Row],[Grupo Tarifário]],RefTabGrupoTarifa[],2,FALSE),0)</f>
        <v>2</v>
      </c>
      <c r="L31" s="1665">
        <f>IFERROR(VLOOKUP(Financeiros[[#This Row],[Grupo Tarifário]],RefTabGrupoTarifa[],3,FALSE),0)</f>
        <v>30</v>
      </c>
      <c r="M31" s="1666">
        <f>IFERROR(VLOOKUP(Financeiros[[#This Row],[Grupo Tarifário]],RefTabGrupoTarifa[],4,FALSE),0)</f>
        <v>9</v>
      </c>
      <c r="N31" s="92"/>
      <c r="T31" s="846" t="s">
        <v>2261</v>
      </c>
      <c r="U31" s="846">
        <v>3</v>
      </c>
      <c r="V31" s="846">
        <v>40</v>
      </c>
      <c r="W31" s="846">
        <v>9</v>
      </c>
    </row>
    <row r="32" spans="3:23" ht="16.5" hidden="1">
      <c r="C32" s="1616" t="s">
        <v>1295</v>
      </c>
      <c r="D32" s="1444"/>
      <c r="E32" s="1619">
        <f t="shared" ca="1" si="7"/>
        <v>0</v>
      </c>
      <c r="F32" s="1663" t="s">
        <v>2232</v>
      </c>
      <c r="G32" s="1664" t="s">
        <v>104</v>
      </c>
      <c r="H32" s="1665">
        <f>IFERROR(VLOOKUP(Financeiros[[#This Row],[Tipo]],RefTabTipo[],2,FALSE),0)</f>
        <v>22</v>
      </c>
      <c r="I32" s="1630">
        <f>IFERROR(VLOOKUP(Financeiros[[#This Row],[Tipo]],RefTabTipo[],3,FALSE),0)</f>
        <v>60</v>
      </c>
      <c r="J32" s="1601">
        <f>IFERROR(VLOOKUP(Financeiros[[#This Row],[Tipo]],RefTabTipo[],4,FALSE),0)</f>
        <v>120</v>
      </c>
      <c r="K32" s="1666">
        <f>IFERROR(VLOOKUP(Financeiros[[#This Row],[Grupo Tarifário]],RefTabGrupoTarifa[],2,FALSE),0)</f>
        <v>4</v>
      </c>
      <c r="L32" s="1665">
        <f>IFERROR(VLOOKUP(Financeiros[[#This Row],[Grupo Tarifário]],RefTabGrupoTarifa[],3,FALSE),0)</f>
        <v>999</v>
      </c>
      <c r="M32" s="1666">
        <f>IFERROR(VLOOKUP(Financeiros[[#This Row],[Grupo Tarifário]],RefTabGrupoTarifa[],4,FALSE),0)</f>
        <v>9</v>
      </c>
      <c r="N32" s="92"/>
      <c r="T32" s="846" t="s">
        <v>104</v>
      </c>
      <c r="U32" s="846">
        <v>4</v>
      </c>
      <c r="V32" s="846">
        <v>999</v>
      </c>
      <c r="W32" s="846">
        <v>9</v>
      </c>
    </row>
    <row r="33" spans="3:23" ht="16.5" hidden="1">
      <c r="C33" s="1617" t="s">
        <v>1296</v>
      </c>
      <c r="D33" s="1753">
        <f>'Tributos suprimento'!$E$18</f>
        <v>0</v>
      </c>
      <c r="E33" s="1619">
        <f ca="1">IF(ISERROR(D33/$D$4),0,D33/$D$4)</f>
        <v>0</v>
      </c>
      <c r="F33" s="1663" t="s">
        <v>2235</v>
      </c>
      <c r="G33" s="1664" t="s">
        <v>2267</v>
      </c>
      <c r="H33" s="1665">
        <f>IFERROR(VLOOKUP(Financeiros[[#This Row],[Tipo]],RefTabTipo[],2,FALSE),0)</f>
        <v>22</v>
      </c>
      <c r="I33" s="1630">
        <f>IFERROR(VLOOKUP(Financeiros[[#This Row],[Tipo]],RefTabTipo[],3,FALSE),0)</f>
        <v>60</v>
      </c>
      <c r="J33" s="1601">
        <f>IFERROR(VLOOKUP(Financeiros[[#This Row],[Tipo]],RefTabTipo[],4,FALSE),0)</f>
        <v>999</v>
      </c>
      <c r="K33" s="1666">
        <f>IFERROR(VLOOKUP(Financeiros[[#This Row],[Grupo Tarifário]],RefTabGrupoTarifa[],2,FALSE),0)</f>
        <v>1</v>
      </c>
      <c r="L33" s="1665">
        <f>IFERROR(VLOOKUP(Financeiros[[#This Row],[Grupo Tarifário]],RefTabGrupoTarifa[],3,FALSE),0)</f>
        <v>7</v>
      </c>
      <c r="M33" s="1666">
        <f>IFERROR(VLOOKUP(Financeiros[[#This Row],[Grupo Tarifário]],RefTabGrupoTarifa[],4,FALSE),0)</f>
        <v>9</v>
      </c>
      <c r="N33" s="92"/>
      <c r="T33" s="846" t="s">
        <v>2262</v>
      </c>
      <c r="U33" s="846">
        <v>5</v>
      </c>
      <c r="V33" s="846">
        <v>999</v>
      </c>
      <c r="W33" s="846">
        <v>9</v>
      </c>
    </row>
    <row r="34" spans="3:23" ht="16.5" hidden="1">
      <c r="C34" s="1617" t="s">
        <v>1297</v>
      </c>
      <c r="D34" s="1753">
        <f>'Tributos suprimento'!$E$19</f>
        <v>0</v>
      </c>
      <c r="E34" s="1619">
        <f ca="1">IF(ISERROR(D34/$D$4),0,D34/$D$4)</f>
        <v>0</v>
      </c>
      <c r="F34" s="1663" t="s">
        <v>2235</v>
      </c>
      <c r="G34" s="1664" t="s">
        <v>2256</v>
      </c>
      <c r="H34" s="1665">
        <f>IFERROR(VLOOKUP(Financeiros[[#This Row],[Tipo]],RefTabTipo[],2,FALSE),0)</f>
        <v>22</v>
      </c>
      <c r="I34" s="1630">
        <f>IFERROR(VLOOKUP(Financeiros[[#This Row],[Tipo]],RefTabTipo[],3,FALSE),0)</f>
        <v>60</v>
      </c>
      <c r="J34" s="1601">
        <f>IFERROR(VLOOKUP(Financeiros[[#This Row],[Tipo]],RefTabTipo[],4,FALSE),0)</f>
        <v>999</v>
      </c>
      <c r="K34" s="1666">
        <f>IFERROR(VLOOKUP(Financeiros[[#This Row],[Grupo Tarifário]],RefTabGrupoTarifa[],2,FALSE),0)</f>
        <v>2</v>
      </c>
      <c r="L34" s="1665">
        <f>IFERROR(VLOOKUP(Financeiros[[#This Row],[Grupo Tarifário]],RefTabGrupoTarifa[],3,FALSE),0)</f>
        <v>30</v>
      </c>
      <c r="M34" s="1666">
        <f>IFERROR(VLOOKUP(Financeiros[[#This Row],[Grupo Tarifário]],RefTabGrupoTarifa[],4,FALSE),0)</f>
        <v>9</v>
      </c>
      <c r="T34" s="846" t="s">
        <v>2263</v>
      </c>
      <c r="U34" s="846">
        <v>1</v>
      </c>
      <c r="V34" s="846">
        <v>1</v>
      </c>
      <c r="W34" s="846">
        <v>9</v>
      </c>
    </row>
    <row r="35" spans="3:23" ht="16.5" hidden="1">
      <c r="C35" s="1617" t="s">
        <v>1298</v>
      </c>
      <c r="D35" s="1754"/>
      <c r="E35" s="1619">
        <f t="shared" ref="E35:E36" ca="1" si="8">IF(ISERROR(D35/$D$4),0,D35/$D$4)</f>
        <v>0</v>
      </c>
      <c r="F35" s="1663" t="s">
        <v>2235</v>
      </c>
      <c r="G35" s="1664" t="s">
        <v>2251</v>
      </c>
      <c r="H35" s="1665">
        <f>IFERROR(VLOOKUP(Financeiros[[#This Row],[Tipo]],RefTabTipo[],2,FALSE),0)</f>
        <v>22</v>
      </c>
      <c r="I35" s="1630">
        <f>IFERROR(VLOOKUP(Financeiros[[#This Row],[Tipo]],RefTabTipo[],3,FALSE),0)</f>
        <v>60</v>
      </c>
      <c r="J35" s="1601">
        <f>IFERROR(VLOOKUP(Financeiros[[#This Row],[Tipo]],RefTabTipo[],4,FALSE),0)</f>
        <v>999</v>
      </c>
      <c r="K35" s="1666">
        <f>IFERROR(VLOOKUP(Financeiros[[#This Row],[Grupo Tarifário]],RefTabGrupoTarifa[],2,FALSE),0)</f>
        <v>3</v>
      </c>
      <c r="L35" s="1665">
        <f>IFERROR(VLOOKUP(Financeiros[[#This Row],[Grupo Tarifário]],RefTabGrupoTarifa[],3,FALSE),0)</f>
        <v>19</v>
      </c>
      <c r="M35" s="1666">
        <f>IFERROR(VLOOKUP(Financeiros[[#This Row],[Grupo Tarifário]],RefTabGrupoTarifa[],4,FALSE),0)</f>
        <v>9</v>
      </c>
      <c r="T35" s="846" t="s">
        <v>2264</v>
      </c>
      <c r="U35" s="846">
        <v>1</v>
      </c>
      <c r="V35" s="846">
        <v>22</v>
      </c>
      <c r="W35" s="846">
        <v>9</v>
      </c>
    </row>
    <row r="36" spans="3:23" ht="16.5" hidden="1">
      <c r="C36" s="1617" t="s">
        <v>1299</v>
      </c>
      <c r="D36" s="1755"/>
      <c r="E36" s="1619">
        <f t="shared" ca="1" si="8"/>
        <v>0</v>
      </c>
      <c r="F36" s="1663" t="s">
        <v>2235</v>
      </c>
      <c r="G36" s="1664" t="s">
        <v>104</v>
      </c>
      <c r="H36" s="1665">
        <f>IFERROR(VLOOKUP(Financeiros[[#This Row],[Tipo]],RefTabTipo[],2,FALSE),0)</f>
        <v>22</v>
      </c>
      <c r="I36" s="1630">
        <f>IFERROR(VLOOKUP(Financeiros[[#This Row],[Tipo]],RefTabTipo[],3,FALSE),0)</f>
        <v>60</v>
      </c>
      <c r="J36" s="1601">
        <f>IFERROR(VLOOKUP(Financeiros[[#This Row],[Tipo]],RefTabTipo[],4,FALSE),0)</f>
        <v>999</v>
      </c>
      <c r="K36" s="1666">
        <f>IFERROR(VLOOKUP(Financeiros[[#This Row],[Grupo Tarifário]],RefTabGrupoTarifa[],2,FALSE),0)</f>
        <v>4</v>
      </c>
      <c r="L36" s="1665">
        <f>IFERROR(VLOOKUP(Financeiros[[#This Row],[Grupo Tarifário]],RefTabGrupoTarifa[],3,FALSE),0)</f>
        <v>999</v>
      </c>
      <c r="M36" s="1666">
        <f>IFERROR(VLOOKUP(Financeiros[[#This Row],[Grupo Tarifário]],RefTabGrupoTarifa[],4,FALSE),0)</f>
        <v>9</v>
      </c>
      <c r="T36" s="846" t="s">
        <v>2265</v>
      </c>
      <c r="U36" s="846">
        <v>1</v>
      </c>
      <c r="V36" s="846">
        <v>4</v>
      </c>
      <c r="W36" s="846">
        <v>9</v>
      </c>
    </row>
    <row r="37" spans="3:23" ht="16.5" hidden="1">
      <c r="C37" s="1617" t="s">
        <v>2410</v>
      </c>
      <c r="D37" s="1756"/>
      <c r="E37" s="1619"/>
      <c r="F37" s="1663"/>
      <c r="G37" s="1664"/>
      <c r="H37" s="1665"/>
      <c r="I37" s="1630"/>
      <c r="J37" s="1601"/>
      <c r="K37" s="1666"/>
      <c r="L37" s="1665"/>
      <c r="M37" s="1666"/>
      <c r="T37" s="846" t="s">
        <v>2266</v>
      </c>
      <c r="U37" s="846">
        <v>1</v>
      </c>
      <c r="V37" s="846">
        <v>3</v>
      </c>
      <c r="W37" s="846">
        <v>9</v>
      </c>
    </row>
    <row r="38" spans="3:23" ht="16.5" hidden="1">
      <c r="C38" s="1617" t="s">
        <v>1300</v>
      </c>
      <c r="D38" s="1754"/>
      <c r="E38" s="1619">
        <f t="shared" ref="E38:E42" ca="1" si="9">IF(ISERROR(D38/$D$4),0,D38/$D$4)</f>
        <v>0</v>
      </c>
      <c r="F38" s="1663" t="s">
        <v>2235</v>
      </c>
      <c r="G38" s="1664" t="s">
        <v>2256</v>
      </c>
      <c r="H38" s="1665">
        <f>IFERROR(VLOOKUP(Financeiros[[#This Row],[Tipo]],RefTabTipo[],2,FALSE),0)</f>
        <v>22</v>
      </c>
      <c r="I38" s="1630">
        <f>IFERROR(VLOOKUP(Financeiros[[#This Row],[Tipo]],RefTabTipo[],3,FALSE),0)</f>
        <v>60</v>
      </c>
      <c r="J38" s="1601">
        <f>IFERROR(VLOOKUP(Financeiros[[#This Row],[Tipo]],RefTabTipo[],4,FALSE),0)</f>
        <v>999</v>
      </c>
      <c r="K38" s="1666">
        <f>IFERROR(VLOOKUP(Financeiros[[#This Row],[Grupo Tarifário]],RefTabGrupoTarifa[],2,FALSE),0)</f>
        <v>2</v>
      </c>
      <c r="L38" s="1665">
        <f>IFERROR(VLOOKUP(Financeiros[[#This Row],[Grupo Tarifário]],RefTabGrupoTarifa[],3,FALSE),0)</f>
        <v>30</v>
      </c>
      <c r="M38" s="1666">
        <f>IFERROR(VLOOKUP(Financeiros[[#This Row],[Grupo Tarifário]],RefTabGrupoTarifa[],4,FALSE),0)</f>
        <v>9</v>
      </c>
      <c r="T38" s="846" t="s">
        <v>2267</v>
      </c>
      <c r="U38" s="846">
        <v>1</v>
      </c>
      <c r="V38" s="846">
        <v>7</v>
      </c>
      <c r="W38" s="846">
        <v>9</v>
      </c>
    </row>
    <row r="39" spans="3:23" ht="16.5" hidden="1">
      <c r="C39" s="1617" t="s">
        <v>1301</v>
      </c>
      <c r="D39" s="1754">
        <f>-ABS(PIS_COFINS!$R$4)</f>
        <v>0</v>
      </c>
      <c r="E39" s="1619">
        <f t="shared" ca="1" si="9"/>
        <v>0</v>
      </c>
      <c r="F39" s="1663" t="s">
        <v>2234</v>
      </c>
      <c r="G39" s="1664" t="s">
        <v>2241</v>
      </c>
      <c r="H39" s="1665">
        <f>IFERROR(VLOOKUP(Financeiros[[#This Row],[Tipo]],RefTabTipo[],2,FALSE),0)</f>
        <v>22</v>
      </c>
      <c r="I39" s="1630">
        <f>IFERROR(VLOOKUP(Financeiros[[#This Row],[Tipo]],RefTabTipo[],3,FALSE),0)</f>
        <v>60</v>
      </c>
      <c r="J39" s="1601">
        <f>IFERROR(VLOOKUP(Financeiros[[#This Row],[Tipo]],RefTabTipo[],4,FALSE),0)</f>
        <v>179</v>
      </c>
      <c r="K39" s="1666">
        <f>IFERROR(VLOOKUP(Financeiros[[#This Row],[Grupo Tarifário]],RefTabGrupoTarifa[],2,FALSE),0)</f>
        <v>99</v>
      </c>
      <c r="L39" s="1665">
        <f>IFERROR(VLOOKUP(Financeiros[[#This Row],[Grupo Tarifário]],RefTabGrupoTarifa[],3,FALSE),0)</f>
        <v>999</v>
      </c>
      <c r="M39" s="1666">
        <f>IFERROR(VLOOKUP(Financeiros[[#This Row],[Grupo Tarifário]],RefTabGrupoTarifa[],4,FALSE),0)</f>
        <v>3</v>
      </c>
      <c r="T39" s="846" t="s">
        <v>2268</v>
      </c>
      <c r="U39" s="846">
        <v>1</v>
      </c>
      <c r="V39" s="846">
        <v>23</v>
      </c>
      <c r="W39" s="846">
        <v>9</v>
      </c>
    </row>
    <row r="40" spans="3:23" ht="16.5">
      <c r="C40" s="1617" t="s">
        <v>2418</v>
      </c>
      <c r="D40" s="1444">
        <f>-D9</f>
        <v>-156272.37582038148</v>
      </c>
      <c r="E40" s="1619">
        <f t="shared" ca="1" si="9"/>
        <v>-5.6515472141589968E-3</v>
      </c>
      <c r="F40" s="1663" t="s">
        <v>2235</v>
      </c>
      <c r="G40" s="1664" t="s">
        <v>2267</v>
      </c>
      <c r="H40" s="1665">
        <f>IFERROR(VLOOKUP(Financeiros[[#This Row],[Tipo]],RefTabTipo[],2,FALSE),0)</f>
        <v>22</v>
      </c>
      <c r="I40" s="1630">
        <f>IFERROR(VLOOKUP(Financeiros[[#This Row],[Tipo]],RefTabTipo[],3,FALSE),0)</f>
        <v>60</v>
      </c>
      <c r="J40" s="1601">
        <f>IFERROR(VLOOKUP(Financeiros[[#This Row],[Tipo]],RefTabTipo[],4,FALSE),0)</f>
        <v>999</v>
      </c>
      <c r="K40" s="1666">
        <f>IFERROR(VLOOKUP(Financeiros[[#This Row],[Grupo Tarifário]],RefTabGrupoTarifa[],2,FALSE),0)</f>
        <v>1</v>
      </c>
      <c r="L40" s="1665">
        <f>IFERROR(VLOOKUP(Financeiros[[#This Row],[Grupo Tarifário]],RefTabGrupoTarifa[],3,FALSE),0)</f>
        <v>7</v>
      </c>
      <c r="M40" s="1666">
        <f>IFERROR(VLOOKUP(Financeiros[[#This Row],[Grupo Tarifário]],RefTabGrupoTarifa[],4,FALSE),0)</f>
        <v>9</v>
      </c>
      <c r="T40" s="846" t="s">
        <v>2269</v>
      </c>
      <c r="U40" s="846">
        <v>1</v>
      </c>
      <c r="V40" s="846">
        <v>2</v>
      </c>
      <c r="W40" s="846">
        <v>9</v>
      </c>
    </row>
    <row r="41" spans="3:23" ht="16.5">
      <c r="C41" s="1617" t="s">
        <v>2419</v>
      </c>
      <c r="D41" s="1444">
        <f ca="1">-SUM(D10:D14)</f>
        <v>-188587.14376403269</v>
      </c>
      <c r="E41" s="1619">
        <f t="shared" ca="1" si="9"/>
        <v>-6.8202018518669968E-3</v>
      </c>
      <c r="F41" s="1663" t="s">
        <v>2235</v>
      </c>
      <c r="G41" s="1664" t="s">
        <v>2256</v>
      </c>
      <c r="H41" s="1665">
        <f>IFERROR(VLOOKUP(Financeiros[[#This Row],[Tipo]],RefTabTipo[],2,FALSE),0)</f>
        <v>22</v>
      </c>
      <c r="I41" s="1630">
        <f>IFERROR(VLOOKUP(Financeiros[[#This Row],[Tipo]],RefTabTipo[],3,FALSE),0)</f>
        <v>60</v>
      </c>
      <c r="J41" s="1601">
        <f>IFERROR(VLOOKUP(Financeiros[[#This Row],[Tipo]],RefTabTipo[],4,FALSE),0)</f>
        <v>999</v>
      </c>
      <c r="K41" s="1666">
        <f>IFERROR(VLOOKUP(Financeiros[[#This Row],[Grupo Tarifário]],RefTabGrupoTarifa[],2,FALSE),0)</f>
        <v>2</v>
      </c>
      <c r="L41" s="1665">
        <f>IFERROR(VLOOKUP(Financeiros[[#This Row],[Grupo Tarifário]],RefTabGrupoTarifa[],3,FALSE),0)</f>
        <v>30</v>
      </c>
      <c r="M41" s="1666">
        <f>IFERROR(VLOOKUP(Financeiros[[#This Row],[Grupo Tarifário]],RefTabGrupoTarifa[],4,FALSE),0)</f>
        <v>9</v>
      </c>
      <c r="T41" s="846" t="s">
        <v>2270</v>
      </c>
      <c r="U41" s="846">
        <v>1</v>
      </c>
      <c r="V41" s="846">
        <v>1</v>
      </c>
      <c r="W41" s="846">
        <v>9</v>
      </c>
    </row>
    <row r="42" spans="3:23" ht="16.5" hidden="1">
      <c r="C42" s="1617" t="s">
        <v>1302</v>
      </c>
      <c r="D42" s="1754">
        <f>'Financeiros Mitigação'!$D$12</f>
        <v>0</v>
      </c>
      <c r="E42" s="1619">
        <f t="shared" ca="1" si="9"/>
        <v>0</v>
      </c>
      <c r="F42" s="1663" t="s">
        <v>2235</v>
      </c>
      <c r="G42" s="1664" t="s">
        <v>104</v>
      </c>
      <c r="H42" s="1665">
        <f>IFERROR(VLOOKUP(Financeiros[[#This Row],[Tipo]],RefTabTipo[],2,FALSE),0)</f>
        <v>22</v>
      </c>
      <c r="I42" s="1630">
        <f>IFERROR(VLOOKUP(Financeiros[[#This Row],[Tipo]],RefTabTipo[],3,FALSE),0)</f>
        <v>60</v>
      </c>
      <c r="J42" s="1601">
        <f>IFERROR(VLOOKUP(Financeiros[[#This Row],[Tipo]],RefTabTipo[],4,FALSE),0)</f>
        <v>999</v>
      </c>
      <c r="K42" s="1666">
        <f>IFERROR(VLOOKUP(Financeiros[[#This Row],[Grupo Tarifário]],RefTabGrupoTarifa[],2,FALSE),0)</f>
        <v>4</v>
      </c>
      <c r="L42" s="1665">
        <f>IFERROR(VLOOKUP(Financeiros[[#This Row],[Grupo Tarifário]],RefTabGrupoTarifa[],3,FALSE),0)</f>
        <v>999</v>
      </c>
      <c r="M42" s="1666">
        <f>IFERROR(VLOOKUP(Financeiros[[#This Row],[Grupo Tarifário]],RefTabGrupoTarifa[],4,FALSE),0)</f>
        <v>9</v>
      </c>
      <c r="T42" s="846" t="s">
        <v>2271</v>
      </c>
      <c r="U42" s="846">
        <v>1</v>
      </c>
      <c r="V42" s="846">
        <v>21</v>
      </c>
      <c r="W42" s="846">
        <v>9</v>
      </c>
    </row>
    <row r="43" spans="3:23" ht="16.5" hidden="1">
      <c r="C43" s="1617" t="s">
        <v>2275</v>
      </c>
      <c r="D43" s="1757"/>
      <c r="E43" s="1667">
        <f>IF(ISERROR(D43/#REF!),0,D43/#REF!)</f>
        <v>0</v>
      </c>
      <c r="F43" s="1663" t="s">
        <v>2228</v>
      </c>
      <c r="G43" s="1664" t="s">
        <v>104</v>
      </c>
      <c r="H43" s="1668">
        <f>IFERROR(VLOOKUP(Financeiros[[#This Row],[Tipo]],RefTabTipo[],2,FALSE),0)</f>
        <v>22</v>
      </c>
      <c r="I43" s="1630">
        <f>IFERROR(VLOOKUP(Financeiros[[#This Row],[Tipo]],RefTabTipo[],3,FALSE),0)</f>
        <v>60</v>
      </c>
      <c r="J43" s="1601">
        <f>IFERROR(VLOOKUP(Financeiros[[#This Row],[Tipo]],RefTabTipo[],4,FALSE),0)</f>
        <v>235</v>
      </c>
      <c r="K43" s="1669">
        <f>IFERROR(VLOOKUP(Financeiros[[#This Row],[Grupo Tarifário]],RefTabGrupoTarifa[],2,FALSE),0)</f>
        <v>4</v>
      </c>
      <c r="L43" s="1668">
        <f>IFERROR(VLOOKUP(Financeiros[[#This Row],[Grupo Tarifário]],RefTabGrupoTarifa[],3,FALSE),0)</f>
        <v>999</v>
      </c>
      <c r="M43" s="1669">
        <f>IFERROR(VLOOKUP(Financeiros[[#This Row],[Grupo Tarifário]],RefTabGrupoTarifa[],4,FALSE),0)</f>
        <v>9</v>
      </c>
      <c r="T43" s="846" t="s">
        <v>2272</v>
      </c>
      <c r="U43" s="846">
        <v>1</v>
      </c>
      <c r="V43" s="846">
        <v>5</v>
      </c>
      <c r="W43" s="846">
        <v>9</v>
      </c>
    </row>
    <row r="44" spans="3:23" ht="16.5" hidden="1">
      <c r="C44" s="1617" t="s">
        <v>2411</v>
      </c>
      <c r="D44" s="1757"/>
      <c r="E44" s="1667">
        <f>IF(ISERROR(D44/#REF!),0,D44/#REF!)</f>
        <v>0</v>
      </c>
      <c r="F44" s="1663"/>
      <c r="G44" s="1664"/>
      <c r="H44" s="1668">
        <f>IFERROR(VLOOKUP(Financeiros[[#This Row],[Tipo]],RefTabTipo[],2,FALSE),0)</f>
        <v>0</v>
      </c>
      <c r="I44" s="1630">
        <f>IFERROR(VLOOKUP(Financeiros[[#This Row],[Tipo]],RefTabTipo[],3,FALSE),0)</f>
        <v>0</v>
      </c>
      <c r="J44" s="1601">
        <f>IFERROR(VLOOKUP(Financeiros[[#This Row],[Tipo]],RefTabTipo[],4,FALSE),0)</f>
        <v>0</v>
      </c>
      <c r="K44" s="1669">
        <f>IFERROR(VLOOKUP(Financeiros[[#This Row],[Grupo Tarifário]],RefTabGrupoTarifa[],2,FALSE),0)</f>
        <v>0</v>
      </c>
      <c r="L44" s="1668">
        <f>IFERROR(VLOOKUP(Financeiros[[#This Row],[Grupo Tarifário]],RefTabGrupoTarifa[],3,FALSE),0)</f>
        <v>0</v>
      </c>
      <c r="M44" s="1669">
        <f>IFERROR(VLOOKUP(Financeiros[[#This Row],[Grupo Tarifário]],RefTabGrupoTarifa[],4,FALSE),0)</f>
        <v>0</v>
      </c>
      <c r="T44" s="846" t="s">
        <v>2273</v>
      </c>
      <c r="U44" s="846">
        <v>1</v>
      </c>
      <c r="V44" s="846">
        <v>6</v>
      </c>
      <c r="W44" s="846">
        <v>9</v>
      </c>
    </row>
    <row r="45" spans="3:23" ht="16.5" hidden="1">
      <c r="C45" s="1617" t="s">
        <v>2413</v>
      </c>
      <c r="D45" s="1757"/>
      <c r="E45" s="1667">
        <f>IF(ISERROR(D45/#REF!),0,D45/#REF!)</f>
        <v>0</v>
      </c>
      <c r="F45" s="1663"/>
      <c r="G45" s="1664"/>
      <c r="H45" s="1668">
        <f>IFERROR(VLOOKUP(Financeiros[[#This Row],[Tipo]],RefTabTipo[],2,FALSE),0)</f>
        <v>0</v>
      </c>
      <c r="I45" s="1630">
        <f>IFERROR(VLOOKUP(Financeiros[[#This Row],[Tipo]],RefTabTipo[],3,FALSE),0)</f>
        <v>0</v>
      </c>
      <c r="J45" s="1601">
        <f>IFERROR(VLOOKUP(Financeiros[[#This Row],[Tipo]],RefTabTipo[],4,FALSE),0)</f>
        <v>0</v>
      </c>
      <c r="K45" s="1669">
        <f>IFERROR(VLOOKUP(Financeiros[[#This Row],[Grupo Tarifário]],RefTabGrupoTarifa[],2,FALSE),0)</f>
        <v>0</v>
      </c>
      <c r="L45" s="1668">
        <f>IFERROR(VLOOKUP(Financeiros[[#This Row],[Grupo Tarifário]],RefTabGrupoTarifa[],3,FALSE),0)</f>
        <v>0</v>
      </c>
      <c r="M45" s="1669">
        <f>IFERROR(VLOOKUP(Financeiros[[#This Row],[Grupo Tarifário]],RefTabGrupoTarifa[],4,FALSE),0)</f>
        <v>0</v>
      </c>
      <c r="T45" s="846"/>
      <c r="U45" s="846"/>
      <c r="V45" s="846"/>
      <c r="W45" s="846"/>
    </row>
    <row r="46" spans="3:23" ht="16.5" hidden="1">
      <c r="C46" s="1617" t="s">
        <v>2414</v>
      </c>
      <c r="D46" s="1754"/>
      <c r="E46" s="1619">
        <f t="shared" ref="E46:E91" ca="1" si="10">IF(ISERROR(D46/$D$4),0,D46/$D$4)</f>
        <v>0</v>
      </c>
      <c r="F46" s="1663"/>
      <c r="G46" s="1664"/>
      <c r="H46" s="1665">
        <f>IFERROR(VLOOKUP(Financeiros[[#This Row],[Tipo]],RefTabTipo[],2,FALSE),0)</f>
        <v>0</v>
      </c>
      <c r="I46" s="1630">
        <f>IFERROR(VLOOKUP(Financeiros[[#This Row],[Tipo]],RefTabTipo[],3,FALSE),0)</f>
        <v>0</v>
      </c>
      <c r="J46" s="1601">
        <f>IFERROR(VLOOKUP(Financeiros[[#This Row],[Tipo]],RefTabTipo[],4,FALSE),0)</f>
        <v>0</v>
      </c>
      <c r="K46" s="1666">
        <f>IFERROR(VLOOKUP(Financeiros[[#This Row],[Grupo Tarifário]],RefTabGrupoTarifa[],2,FALSE),0)</f>
        <v>0</v>
      </c>
      <c r="L46" s="1665">
        <f>IFERROR(VLOOKUP(Financeiros[[#This Row],[Grupo Tarifário]],RefTabGrupoTarifa[],3,FALSE),0)</f>
        <v>0</v>
      </c>
      <c r="M46" s="1666">
        <f>IFERROR(VLOOKUP(Financeiros[[#This Row],[Grupo Tarifário]],RefTabGrupoTarifa[],4,FALSE),0)</f>
        <v>0</v>
      </c>
      <c r="T46" s="846"/>
      <c r="U46" s="846"/>
      <c r="V46" s="846"/>
      <c r="W46" s="846"/>
    </row>
    <row r="47" spans="3:23" ht="16.5">
      <c r="C47" s="1617" t="s">
        <v>2415</v>
      </c>
      <c r="D47" s="1444">
        <f>Indexador!G17</f>
        <v>259061.82052610171</v>
      </c>
      <c r="E47" s="1619">
        <f t="shared" ca="1" si="10"/>
        <v>9.3688990290393733E-3</v>
      </c>
      <c r="F47" s="1663" t="s">
        <v>2235</v>
      </c>
      <c r="G47" s="1664" t="s">
        <v>2267</v>
      </c>
      <c r="H47" s="1665">
        <f>IFERROR(VLOOKUP(Financeiros[[#This Row],[Tipo]],RefTabTipo[],2,FALSE),0)</f>
        <v>22</v>
      </c>
      <c r="I47" s="1630">
        <f>IFERROR(VLOOKUP(Financeiros[[#This Row],[Tipo]],RefTabTipo[],3,FALSE),0)</f>
        <v>60</v>
      </c>
      <c r="J47" s="1601">
        <f>IFERROR(VLOOKUP(Financeiros[[#This Row],[Tipo]],RefTabTipo[],4,FALSE),0)</f>
        <v>999</v>
      </c>
      <c r="K47" s="1666">
        <f>IFERROR(VLOOKUP(Financeiros[[#This Row],[Grupo Tarifário]],RefTabGrupoTarifa[],2,FALSE),0)</f>
        <v>1</v>
      </c>
      <c r="L47" s="1665">
        <f>IFERROR(VLOOKUP(Financeiros[[#This Row],[Grupo Tarifário]],RefTabGrupoTarifa[],3,FALSE),0)</f>
        <v>7</v>
      </c>
      <c r="M47" s="1666">
        <f>IFERROR(VLOOKUP(Financeiros[[#This Row],[Grupo Tarifário]],RefTabGrupoTarifa[],4,FALSE),0)</f>
        <v>9</v>
      </c>
    </row>
    <row r="48" spans="3:23" ht="16.5">
      <c r="C48" s="1617" t="s">
        <v>2416</v>
      </c>
      <c r="D48" s="1444">
        <f>Indexador!H17</f>
        <v>143009.23456449484</v>
      </c>
      <c r="E48" s="1619">
        <f t="shared" ca="1" si="10"/>
        <v>5.1718893819784782E-3</v>
      </c>
      <c r="F48" s="1663" t="s">
        <v>2235</v>
      </c>
      <c r="G48" s="1664" t="s">
        <v>2256</v>
      </c>
      <c r="H48" s="1665">
        <f>IFERROR(VLOOKUP(Financeiros[[#This Row],[Tipo]],RefTabTipo[],2,FALSE),0)</f>
        <v>22</v>
      </c>
      <c r="I48" s="1630">
        <f>IFERROR(VLOOKUP(Financeiros[[#This Row],[Tipo]],RefTabTipo[],3,FALSE),0)</f>
        <v>60</v>
      </c>
      <c r="J48" s="1601">
        <f>IFERROR(VLOOKUP(Financeiros[[#This Row],[Tipo]],RefTabTipo[],4,FALSE),0)</f>
        <v>999</v>
      </c>
      <c r="K48" s="1666">
        <f>IFERROR(VLOOKUP(Financeiros[[#This Row],[Grupo Tarifário]],RefTabGrupoTarifa[],2,FALSE),0)</f>
        <v>2</v>
      </c>
      <c r="L48" s="1665">
        <f>IFERROR(VLOOKUP(Financeiros[[#This Row],[Grupo Tarifário]],RefTabGrupoTarifa[],3,FALSE),0)</f>
        <v>30</v>
      </c>
      <c r="M48" s="1666">
        <f>IFERROR(VLOOKUP(Financeiros[[#This Row],[Grupo Tarifário]],RefTabGrupoTarifa[],4,FALSE),0)</f>
        <v>9</v>
      </c>
    </row>
    <row r="49" spans="3:13" ht="16.5" hidden="1">
      <c r="C49" s="1659" t="s">
        <v>2101</v>
      </c>
      <c r="D49" s="1758">
        <f>CVE!$D$9</f>
        <v>0</v>
      </c>
      <c r="E49" s="1620">
        <f t="shared" ca="1" si="10"/>
        <v>0</v>
      </c>
      <c r="F49" s="1608" t="s">
        <v>2231</v>
      </c>
      <c r="G49" s="1625" t="s">
        <v>2243</v>
      </c>
      <c r="H49" s="1609">
        <f>IFERROR(VLOOKUP(Financeiros[[#This Row],[Tipo]],RefTabTipo[],2,FALSE),0)</f>
        <v>22</v>
      </c>
      <c r="I49" s="1631">
        <f>IFERROR(VLOOKUP(Financeiros[[#This Row],[Tipo]],RefTabTipo[],3,FALSE),0)</f>
        <v>60</v>
      </c>
      <c r="J49" s="1610">
        <f>IFERROR(VLOOKUP(Financeiros[[#This Row],[Tipo]],RefTabTipo[],4,FALSE),0)</f>
        <v>241</v>
      </c>
      <c r="K49" s="1637">
        <f>IFERROR(VLOOKUP(Financeiros[[#This Row],[Grupo Tarifário]],RefTabGrupoTarifa[],2,FALSE),0)</f>
        <v>3</v>
      </c>
      <c r="L49" s="1609">
        <f>IFERROR(VLOOKUP(Financeiros[[#This Row],[Grupo Tarifário]],RefTabGrupoTarifa[],3,FALSE),0)</f>
        <v>13</v>
      </c>
      <c r="M49" s="1637">
        <f>IFERROR(VLOOKUP(Financeiros[[#This Row],[Grupo Tarifário]],RefTabGrupoTarifa[],4,FALSE),0)</f>
        <v>9</v>
      </c>
    </row>
    <row r="50" spans="3:13" ht="16.5" hidden="1">
      <c r="C50" s="1659" t="s">
        <v>2102</v>
      </c>
      <c r="D50" s="1758">
        <f>CVE!$D$10</f>
        <v>0</v>
      </c>
      <c r="E50" s="1620">
        <f t="shared" ca="1" si="10"/>
        <v>0</v>
      </c>
      <c r="F50" s="1608" t="s">
        <v>2231</v>
      </c>
      <c r="G50" s="1625" t="s">
        <v>2245</v>
      </c>
      <c r="H50" s="1609">
        <f>IFERROR(VLOOKUP(Financeiros[[#This Row],[Tipo]],RefTabTipo[],2,FALSE),0)</f>
        <v>22</v>
      </c>
      <c r="I50" s="1631">
        <f>IFERROR(VLOOKUP(Financeiros[[#This Row],[Tipo]],RefTabTipo[],3,FALSE),0)</f>
        <v>60</v>
      </c>
      <c r="J50" s="1610">
        <f>IFERROR(VLOOKUP(Financeiros[[#This Row],[Tipo]],RefTabTipo[],4,FALSE),0)</f>
        <v>241</v>
      </c>
      <c r="K50" s="1637">
        <f>IFERROR(VLOOKUP(Financeiros[[#This Row],[Grupo Tarifário]],RefTabGrupoTarifa[],2,FALSE),0)</f>
        <v>3</v>
      </c>
      <c r="L50" s="1609">
        <f>IFERROR(VLOOKUP(Financeiros[[#This Row],[Grupo Tarifário]],RefTabGrupoTarifa[],3,FALSE),0)</f>
        <v>15</v>
      </c>
      <c r="M50" s="1637">
        <f>IFERROR(VLOOKUP(Financeiros[[#This Row],[Grupo Tarifário]],RefTabGrupoTarifa[],4,FALSE),0)</f>
        <v>9</v>
      </c>
    </row>
    <row r="51" spans="3:13" ht="16.5" hidden="1">
      <c r="C51" s="1659" t="s">
        <v>2103</v>
      </c>
      <c r="D51" s="1758">
        <f>CVE!$D$11</f>
        <v>0</v>
      </c>
      <c r="E51" s="1620">
        <f t="shared" ca="1" si="10"/>
        <v>0</v>
      </c>
      <c r="F51" s="1608" t="s">
        <v>2231</v>
      </c>
      <c r="G51" s="1625" t="s">
        <v>2244</v>
      </c>
      <c r="H51" s="1609">
        <f>IFERROR(VLOOKUP(Financeiros[[#This Row],[Tipo]],RefTabTipo[],2,FALSE),0)</f>
        <v>22</v>
      </c>
      <c r="I51" s="1631">
        <f>IFERROR(VLOOKUP(Financeiros[[#This Row],[Tipo]],RefTabTipo[],3,FALSE),0)</f>
        <v>60</v>
      </c>
      <c r="J51" s="1610">
        <f>IFERROR(VLOOKUP(Financeiros[[#This Row],[Tipo]],RefTabTipo[],4,FALSE),0)</f>
        <v>241</v>
      </c>
      <c r="K51" s="1637">
        <f>IFERROR(VLOOKUP(Financeiros[[#This Row],[Grupo Tarifário]],RefTabGrupoTarifa[],2,FALSE),0)</f>
        <v>3</v>
      </c>
      <c r="L51" s="1609">
        <f>IFERROR(VLOOKUP(Financeiros[[#This Row],[Grupo Tarifário]],RefTabGrupoTarifa[],3,FALSE),0)</f>
        <v>25</v>
      </c>
      <c r="M51" s="1637">
        <f>IFERROR(VLOOKUP(Financeiros[[#This Row],[Grupo Tarifário]],RefTabGrupoTarifa[],4,FALSE),0)</f>
        <v>9</v>
      </c>
    </row>
    <row r="52" spans="3:13" ht="16.5" hidden="1">
      <c r="C52" s="1659" t="s">
        <v>2104</v>
      </c>
      <c r="D52" s="1758">
        <f>IFERROR(CVE!$D$12*Resultado!D25/SUM(Resultado!$D$25:$D$29),0)</f>
        <v>0</v>
      </c>
      <c r="E52" s="1620">
        <f t="shared" ca="1" si="10"/>
        <v>0</v>
      </c>
      <c r="F52" s="1608" t="s">
        <v>2231</v>
      </c>
      <c r="G52" s="1625" t="s">
        <v>2263</v>
      </c>
      <c r="H52" s="1609">
        <f>IFERROR(VLOOKUP(Financeiros[[#This Row],[Tipo]],RefTabTipo[],2,FALSE),0)</f>
        <v>22</v>
      </c>
      <c r="I52" s="1631">
        <f>IFERROR(VLOOKUP(Financeiros[[#This Row],[Tipo]],RefTabTipo[],3,FALSE),0)</f>
        <v>60</v>
      </c>
      <c r="J52" s="1610">
        <f>IFERROR(VLOOKUP(Financeiros[[#This Row],[Tipo]],RefTabTipo[],4,FALSE),0)</f>
        <v>241</v>
      </c>
      <c r="K52" s="1637">
        <f>IFERROR(VLOOKUP(Financeiros[[#This Row],[Grupo Tarifário]],RefTabGrupoTarifa[],2,FALSE),0)</f>
        <v>1</v>
      </c>
      <c r="L52" s="1609">
        <f>IFERROR(VLOOKUP(Financeiros[[#This Row],[Grupo Tarifário]],RefTabGrupoTarifa[],3,FALSE),0)</f>
        <v>1</v>
      </c>
      <c r="M52" s="1637">
        <f>IFERROR(VLOOKUP(Financeiros[[#This Row],[Grupo Tarifário]],RefTabGrupoTarifa[],4,FALSE),0)</f>
        <v>9</v>
      </c>
    </row>
    <row r="53" spans="3:13" ht="16.5" hidden="1">
      <c r="C53" s="1659" t="s">
        <v>2105</v>
      </c>
      <c r="D53" s="1758">
        <f>IFERROR(CVE!$D$12*Resultado!D26/SUM(Resultado!$D$25:$D$29),0)</f>
        <v>0</v>
      </c>
      <c r="E53" s="1620">
        <f t="shared" ca="1" si="10"/>
        <v>0</v>
      </c>
      <c r="F53" s="1608" t="s">
        <v>2231</v>
      </c>
      <c r="G53" s="1625" t="s">
        <v>2263</v>
      </c>
      <c r="H53" s="1609">
        <f>IFERROR(VLOOKUP(Financeiros[[#This Row],[Tipo]],RefTabTipo[],2,FALSE),0)</f>
        <v>22</v>
      </c>
      <c r="I53" s="1631">
        <f>IFERROR(VLOOKUP(Financeiros[[#This Row],[Tipo]],RefTabTipo[],3,FALSE),0)</f>
        <v>60</v>
      </c>
      <c r="J53" s="1610">
        <f>IFERROR(VLOOKUP(Financeiros[[#This Row],[Tipo]],RefTabTipo[],4,FALSE),0)</f>
        <v>241</v>
      </c>
      <c r="K53" s="1637">
        <f>IFERROR(VLOOKUP(Financeiros[[#This Row],[Grupo Tarifário]],RefTabGrupoTarifa[],2,FALSE),0)</f>
        <v>1</v>
      </c>
      <c r="L53" s="1609">
        <f>IFERROR(VLOOKUP(Financeiros[[#This Row],[Grupo Tarifário]],RefTabGrupoTarifa[],3,FALSE),0)</f>
        <v>1</v>
      </c>
      <c r="M53" s="1637">
        <f>IFERROR(VLOOKUP(Financeiros[[#This Row],[Grupo Tarifário]],RefTabGrupoTarifa[],4,FALSE),0)</f>
        <v>9</v>
      </c>
    </row>
    <row r="54" spans="3:13" ht="16.5" hidden="1">
      <c r="C54" s="1659" t="s">
        <v>2106</v>
      </c>
      <c r="D54" s="1758">
        <f>IFERROR(CVE!$D$12*Resultado!D28/SUM(Resultado!$D$25:$D$29),0)</f>
        <v>0</v>
      </c>
      <c r="E54" s="1620">
        <f t="shared" ca="1" si="10"/>
        <v>0</v>
      </c>
      <c r="F54" s="1608" t="s">
        <v>2231</v>
      </c>
      <c r="G54" s="1625" t="s">
        <v>2263</v>
      </c>
      <c r="H54" s="1609">
        <f>IFERROR(VLOOKUP(Financeiros[[#This Row],[Tipo]],RefTabTipo[],2,FALSE),0)</f>
        <v>22</v>
      </c>
      <c r="I54" s="1631">
        <f>IFERROR(VLOOKUP(Financeiros[[#This Row],[Tipo]],RefTabTipo[],3,FALSE),0)</f>
        <v>60</v>
      </c>
      <c r="J54" s="1610">
        <f>IFERROR(VLOOKUP(Financeiros[[#This Row],[Tipo]],RefTabTipo[],4,FALSE),0)</f>
        <v>241</v>
      </c>
      <c r="K54" s="1637">
        <f>IFERROR(VLOOKUP(Financeiros[[#This Row],[Grupo Tarifário]],RefTabGrupoTarifa[],2,FALSE),0)</f>
        <v>1</v>
      </c>
      <c r="L54" s="1609">
        <f>IFERROR(VLOOKUP(Financeiros[[#This Row],[Grupo Tarifário]],RefTabGrupoTarifa[],3,FALSE),0)</f>
        <v>1</v>
      </c>
      <c r="M54" s="1637">
        <f>IFERROR(VLOOKUP(Financeiros[[#This Row],[Grupo Tarifário]],RefTabGrupoTarifa[],4,FALSE),0)</f>
        <v>9</v>
      </c>
    </row>
    <row r="55" spans="3:13" ht="16.5" hidden="1">
      <c r="C55" s="1659" t="s">
        <v>2107</v>
      </c>
      <c r="D55" s="1758">
        <f>IFERROR(CVE!$D$12*Resultado!D27/SUM(Resultado!$D$25:$D$29),0)</f>
        <v>0</v>
      </c>
      <c r="E55" s="1620">
        <f t="shared" ca="1" si="10"/>
        <v>0</v>
      </c>
      <c r="F55" s="1608" t="s">
        <v>2231</v>
      </c>
      <c r="G55" s="1625" t="s">
        <v>2263</v>
      </c>
      <c r="H55" s="1609">
        <f>IFERROR(VLOOKUP(Financeiros[[#This Row],[Tipo]],RefTabTipo[],2,FALSE),0)</f>
        <v>22</v>
      </c>
      <c r="I55" s="1631">
        <f>IFERROR(VLOOKUP(Financeiros[[#This Row],[Tipo]],RefTabTipo[],3,FALSE),0)</f>
        <v>60</v>
      </c>
      <c r="J55" s="1610">
        <f>IFERROR(VLOOKUP(Financeiros[[#This Row],[Tipo]],RefTabTipo[],4,FALSE),0)</f>
        <v>241</v>
      </c>
      <c r="K55" s="1637">
        <f>IFERROR(VLOOKUP(Financeiros[[#This Row],[Grupo Tarifário]],RefTabGrupoTarifa[],2,FALSE),0)</f>
        <v>1</v>
      </c>
      <c r="L55" s="1609">
        <f>IFERROR(VLOOKUP(Financeiros[[#This Row],[Grupo Tarifário]],RefTabGrupoTarifa[],3,FALSE),0)</f>
        <v>1</v>
      </c>
      <c r="M55" s="1637">
        <f>IFERROR(VLOOKUP(Financeiros[[#This Row],[Grupo Tarifário]],RefTabGrupoTarifa[],4,FALSE),0)</f>
        <v>9</v>
      </c>
    </row>
    <row r="56" spans="3:13" ht="16.5" hidden="1">
      <c r="C56" s="1659" t="s">
        <v>2108</v>
      </c>
      <c r="D56" s="1758">
        <f>IFERROR(CVE!$D$12*Resultado!D29/SUM(Resultado!$D$25:$D$29),0)</f>
        <v>0</v>
      </c>
      <c r="E56" s="1620">
        <f t="shared" ca="1" si="10"/>
        <v>0</v>
      </c>
      <c r="F56" s="1608" t="s">
        <v>2231</v>
      </c>
      <c r="G56" s="1625" t="s">
        <v>2263</v>
      </c>
      <c r="H56" s="1609">
        <f>IFERROR(VLOOKUP(Financeiros[[#This Row],[Tipo]],RefTabTipo[],2,FALSE),0)</f>
        <v>22</v>
      </c>
      <c r="I56" s="1631">
        <f>IFERROR(VLOOKUP(Financeiros[[#This Row],[Tipo]],RefTabTipo[],3,FALSE),0)</f>
        <v>60</v>
      </c>
      <c r="J56" s="1610">
        <f>IFERROR(VLOOKUP(Financeiros[[#This Row],[Tipo]],RefTabTipo[],4,FALSE),0)</f>
        <v>241</v>
      </c>
      <c r="K56" s="1637">
        <f>IFERROR(VLOOKUP(Financeiros[[#This Row],[Grupo Tarifário]],RefTabGrupoTarifa[],2,FALSE),0)</f>
        <v>1</v>
      </c>
      <c r="L56" s="1609">
        <f>IFERROR(VLOOKUP(Financeiros[[#This Row],[Grupo Tarifário]],RefTabGrupoTarifa[],3,FALSE),0)</f>
        <v>1</v>
      </c>
      <c r="M56" s="1637">
        <f>IFERROR(VLOOKUP(Financeiros[[#This Row],[Grupo Tarifário]],RefTabGrupoTarifa[],4,FALSE),0)</f>
        <v>9</v>
      </c>
    </row>
    <row r="57" spans="3:13" ht="16.5" hidden="1">
      <c r="C57" s="1659" t="s">
        <v>2109</v>
      </c>
      <c r="D57" s="1758">
        <f>CVE!D15</f>
        <v>0</v>
      </c>
      <c r="E57" s="1620">
        <f t="shared" ca="1" si="10"/>
        <v>0</v>
      </c>
      <c r="F57" s="1608" t="s">
        <v>2231</v>
      </c>
      <c r="G57" s="1625" t="s">
        <v>2271</v>
      </c>
      <c r="H57" s="1609">
        <f>IFERROR(VLOOKUP(Financeiros[[#This Row],[Tipo]],RefTabTipo[],2,FALSE),0)</f>
        <v>22</v>
      </c>
      <c r="I57" s="1631">
        <f>IFERROR(VLOOKUP(Financeiros[[#This Row],[Tipo]],RefTabTipo[],3,FALSE),0)</f>
        <v>60</v>
      </c>
      <c r="J57" s="1610">
        <f>IFERROR(VLOOKUP(Financeiros[[#This Row],[Tipo]],RefTabTipo[],4,FALSE),0)</f>
        <v>241</v>
      </c>
      <c r="K57" s="1637">
        <f>IFERROR(VLOOKUP(Financeiros[[#This Row],[Grupo Tarifário]],RefTabGrupoTarifa[],2,FALSE),0)</f>
        <v>1</v>
      </c>
      <c r="L57" s="1609">
        <f>IFERROR(VLOOKUP(Financeiros[[#This Row],[Grupo Tarifário]],RefTabGrupoTarifa[],3,FALSE),0)</f>
        <v>21</v>
      </c>
      <c r="M57" s="1637">
        <f>IFERROR(VLOOKUP(Financeiros[[#This Row],[Grupo Tarifário]],RefTabGrupoTarifa[],4,FALSE),0)</f>
        <v>9</v>
      </c>
    </row>
    <row r="58" spans="3:13" ht="16.5" hidden="1">
      <c r="C58" s="1659" t="s">
        <v>2110</v>
      </c>
      <c r="D58" s="1758">
        <f ca="1">IFERROR(CVE!$D$13*H2,0)</f>
        <v>0</v>
      </c>
      <c r="E58" s="1620">
        <f t="shared" ca="1" si="10"/>
        <v>0</v>
      </c>
      <c r="F58" s="1608" t="s">
        <v>2231</v>
      </c>
      <c r="G58" s="1625" t="s">
        <v>2255</v>
      </c>
      <c r="H58" s="1609">
        <f>IFERROR(VLOOKUP(Financeiros[[#This Row],[Tipo]],RefTabTipo[],2,FALSE),0)</f>
        <v>22</v>
      </c>
      <c r="I58" s="1631">
        <f>IFERROR(VLOOKUP(Financeiros[[#This Row],[Tipo]],RefTabTipo[],3,FALSE),0)</f>
        <v>60</v>
      </c>
      <c r="J58" s="1610">
        <f>IFERROR(VLOOKUP(Financeiros[[#This Row],[Tipo]],RefTabTipo[],4,FALSE),0)</f>
        <v>241</v>
      </c>
      <c r="K58" s="1637">
        <f>IFERROR(VLOOKUP(Financeiros[[#This Row],[Grupo Tarifário]],RefTabGrupoTarifa[],2,FALSE),0)</f>
        <v>2</v>
      </c>
      <c r="L58" s="1609">
        <f>IFERROR(VLOOKUP(Financeiros[[#This Row],[Grupo Tarifário]],RefTabGrupoTarifa[],3,FALSE),0)</f>
        <v>11</v>
      </c>
      <c r="M58" s="1637">
        <f>IFERROR(VLOOKUP(Financeiros[[#This Row],[Grupo Tarifário]],RefTabGrupoTarifa[],4,FALSE),0)</f>
        <v>9</v>
      </c>
    </row>
    <row r="59" spans="3:13" ht="16.5" hidden="1">
      <c r="C59" s="1659" t="s">
        <v>2111</v>
      </c>
      <c r="D59" s="1758">
        <f ca="1">IFERROR(CVE!$D$13*H3,0)</f>
        <v>0</v>
      </c>
      <c r="E59" s="1620">
        <f t="shared" ca="1" si="10"/>
        <v>0</v>
      </c>
      <c r="F59" s="1608" t="s">
        <v>2231</v>
      </c>
      <c r="G59" s="1625" t="s">
        <v>2257</v>
      </c>
      <c r="H59" s="1609">
        <f>IFERROR(VLOOKUP(Financeiros[[#This Row],[Tipo]],RefTabTipo[],2,FALSE),0)</f>
        <v>22</v>
      </c>
      <c r="I59" s="1631">
        <f>IFERROR(VLOOKUP(Financeiros[[#This Row],[Tipo]],RefTabTipo[],3,FALSE),0)</f>
        <v>60</v>
      </c>
      <c r="J59" s="1610">
        <f>IFERROR(VLOOKUP(Financeiros[[#This Row],[Tipo]],RefTabTipo[],4,FALSE),0)</f>
        <v>241</v>
      </c>
      <c r="K59" s="1637">
        <f>IFERROR(VLOOKUP(Financeiros[[#This Row],[Grupo Tarifário]],RefTabGrupoTarifa[],2,FALSE),0)</f>
        <v>2</v>
      </c>
      <c r="L59" s="1609">
        <f>IFERROR(VLOOKUP(Financeiros[[#This Row],[Grupo Tarifário]],RefTabGrupoTarifa[],3,FALSE),0)</f>
        <v>9</v>
      </c>
      <c r="M59" s="1637">
        <f>IFERROR(VLOOKUP(Financeiros[[#This Row],[Grupo Tarifário]],RefTabGrupoTarifa[],4,FALSE),0)</f>
        <v>9</v>
      </c>
    </row>
    <row r="60" spans="3:13" ht="16.5" hidden="1">
      <c r="C60" s="1659" t="s">
        <v>2112</v>
      </c>
      <c r="D60" s="1758">
        <f ca="1">IFERROR(CVE!$D$13*H4,0)</f>
        <v>0</v>
      </c>
      <c r="E60" s="1620">
        <f t="shared" ca="1" si="10"/>
        <v>0</v>
      </c>
      <c r="F60" s="1608" t="s">
        <v>2231</v>
      </c>
      <c r="G60" s="1625" t="s">
        <v>2260</v>
      </c>
      <c r="H60" s="1609">
        <f>IFERROR(VLOOKUP(Financeiros[[#This Row],[Tipo]],RefTabTipo[],2,FALSE),0)</f>
        <v>22</v>
      </c>
      <c r="I60" s="1631">
        <f>IFERROR(VLOOKUP(Financeiros[[#This Row],[Tipo]],RefTabTipo[],3,FALSE),0)</f>
        <v>60</v>
      </c>
      <c r="J60" s="1610">
        <f>IFERROR(VLOOKUP(Financeiros[[#This Row],[Tipo]],RefTabTipo[],4,FALSE),0)</f>
        <v>241</v>
      </c>
      <c r="K60" s="1637">
        <f>IFERROR(VLOOKUP(Financeiros[[#This Row],[Grupo Tarifário]],RefTabGrupoTarifa[],2,FALSE),0)</f>
        <v>2</v>
      </c>
      <c r="L60" s="1609">
        <f>IFERROR(VLOOKUP(Financeiros[[#This Row],[Grupo Tarifário]],RefTabGrupoTarifa[],3,FALSE),0)</f>
        <v>8</v>
      </c>
      <c r="M60" s="1637">
        <f>IFERROR(VLOOKUP(Financeiros[[#This Row],[Grupo Tarifário]],RefTabGrupoTarifa[],4,FALSE),0)</f>
        <v>9</v>
      </c>
    </row>
    <row r="61" spans="3:13" ht="16.5" hidden="1">
      <c r="C61" s="1659" t="s">
        <v>2113</v>
      </c>
      <c r="D61" s="1758">
        <f ca="1">IFERROR(CVE!$D$13*H5,0)</f>
        <v>0</v>
      </c>
      <c r="E61" s="1620">
        <f t="shared" ca="1" si="10"/>
        <v>0</v>
      </c>
      <c r="F61" s="1608" t="s">
        <v>2231</v>
      </c>
      <c r="G61" s="1625" t="s">
        <v>2258</v>
      </c>
      <c r="H61" s="1609">
        <f>IFERROR(VLOOKUP(Financeiros[[#This Row],[Tipo]],RefTabTipo[],2,FALSE),0)</f>
        <v>22</v>
      </c>
      <c r="I61" s="1631">
        <f>IFERROR(VLOOKUP(Financeiros[[#This Row],[Tipo]],RefTabTipo[],3,FALSE),0)</f>
        <v>60</v>
      </c>
      <c r="J61" s="1610">
        <f>IFERROR(VLOOKUP(Financeiros[[#This Row],[Tipo]],RefTabTipo[],4,FALSE),0)</f>
        <v>241</v>
      </c>
      <c r="K61" s="1637">
        <f>IFERROR(VLOOKUP(Financeiros[[#This Row],[Grupo Tarifário]],RefTabGrupoTarifa[],2,FALSE),0)</f>
        <v>2</v>
      </c>
      <c r="L61" s="1609">
        <f>IFERROR(VLOOKUP(Financeiros[[#This Row],[Grupo Tarifário]],RefTabGrupoTarifa[],3,FALSE),0)</f>
        <v>10</v>
      </c>
      <c r="M61" s="1637">
        <f>IFERROR(VLOOKUP(Financeiros[[#This Row],[Grupo Tarifário]],RefTabGrupoTarifa[],4,FALSE),0)</f>
        <v>9</v>
      </c>
    </row>
    <row r="62" spans="3:13" ht="16.5" hidden="1">
      <c r="C62" s="1659" t="s">
        <v>2114</v>
      </c>
      <c r="D62" s="1758">
        <f ca="1">IFERROR(CVE!$D$13*H6,0)</f>
        <v>0</v>
      </c>
      <c r="E62" s="1620">
        <f t="shared" ca="1" si="10"/>
        <v>0</v>
      </c>
      <c r="F62" s="1608" t="s">
        <v>2231</v>
      </c>
      <c r="G62" s="1625" t="s">
        <v>2259</v>
      </c>
      <c r="H62" s="1609">
        <f>IFERROR(VLOOKUP(Financeiros[[#This Row],[Tipo]],RefTabTipo[],2,FALSE),0)</f>
        <v>22</v>
      </c>
      <c r="I62" s="1631">
        <f>IFERROR(VLOOKUP(Financeiros[[#This Row],[Tipo]],RefTabTipo[],3,FALSE),0)</f>
        <v>60</v>
      </c>
      <c r="J62" s="1610">
        <f>IFERROR(VLOOKUP(Financeiros[[#This Row],[Tipo]],RefTabTipo[],4,FALSE),0)</f>
        <v>241</v>
      </c>
      <c r="K62" s="1637">
        <f>IFERROR(VLOOKUP(Financeiros[[#This Row],[Grupo Tarifário]],RefTabGrupoTarifa[],2,FALSE),0)</f>
        <v>2</v>
      </c>
      <c r="L62" s="1609">
        <f>IFERROR(VLOOKUP(Financeiros[[#This Row],[Grupo Tarifário]],RefTabGrupoTarifa[],3,FALSE),0)</f>
        <v>24</v>
      </c>
      <c r="M62" s="1637">
        <f>IFERROR(VLOOKUP(Financeiros[[#This Row],[Grupo Tarifário]],RefTabGrupoTarifa[],4,FALSE),0)</f>
        <v>9</v>
      </c>
    </row>
    <row r="63" spans="3:13" ht="16.5" hidden="1">
      <c r="C63" s="1659" t="s">
        <v>2115</v>
      </c>
      <c r="D63" s="1758">
        <f>IFERROR(CVE!$D$16,0)</f>
        <v>0</v>
      </c>
      <c r="E63" s="1620">
        <f t="shared" ca="1" si="10"/>
        <v>0</v>
      </c>
      <c r="F63" s="1608" t="s">
        <v>2231</v>
      </c>
      <c r="G63" s="1625" t="s">
        <v>2252</v>
      </c>
      <c r="H63" s="1609">
        <f>IFERROR(VLOOKUP(Financeiros[[#This Row],[Tipo]],RefTabTipo[],2,FALSE),0)</f>
        <v>22</v>
      </c>
      <c r="I63" s="1631">
        <f>IFERROR(VLOOKUP(Financeiros[[#This Row],[Tipo]],RefTabTipo[],3,FALSE),0)</f>
        <v>60</v>
      </c>
      <c r="J63" s="1610">
        <f>IFERROR(VLOOKUP(Financeiros[[#This Row],[Tipo]],RefTabTipo[],4,FALSE),0)</f>
        <v>241</v>
      </c>
      <c r="K63" s="1637">
        <f>IFERROR(VLOOKUP(Financeiros[[#This Row],[Grupo Tarifário]],RefTabGrupoTarifa[],2,FALSE),0)</f>
        <v>3</v>
      </c>
      <c r="L63" s="1609">
        <f>IFERROR(VLOOKUP(Financeiros[[#This Row],[Grupo Tarifário]],RefTabGrupoTarifa[],3,FALSE),0)</f>
        <v>18</v>
      </c>
      <c r="M63" s="1637">
        <f>IFERROR(VLOOKUP(Financeiros[[#This Row],[Grupo Tarifário]],RefTabGrupoTarifa[],4,FALSE),0)</f>
        <v>9</v>
      </c>
    </row>
    <row r="64" spans="3:13" ht="16.5" hidden="1">
      <c r="C64" s="1659" t="s">
        <v>2116</v>
      </c>
      <c r="D64" s="1758">
        <f>CVE!D14</f>
        <v>0</v>
      </c>
      <c r="E64" s="1620">
        <f t="shared" ca="1" si="10"/>
        <v>0</v>
      </c>
      <c r="F64" s="1608" t="s">
        <v>2231</v>
      </c>
      <c r="G64" s="1625" t="s">
        <v>2249</v>
      </c>
      <c r="H64" s="1609">
        <f>IFERROR(VLOOKUP(Financeiros[[#This Row],[Tipo]],RefTabTipo[],2,FALSE),0)</f>
        <v>22</v>
      </c>
      <c r="I64" s="1631">
        <f>IFERROR(VLOOKUP(Financeiros[[#This Row],[Tipo]],RefTabTipo[],3,FALSE),0)</f>
        <v>60</v>
      </c>
      <c r="J64" s="1610">
        <f>IFERROR(VLOOKUP(Financeiros[[#This Row],[Tipo]],RefTabTipo[],4,FALSE),0)</f>
        <v>241</v>
      </c>
      <c r="K64" s="1637">
        <f>IFERROR(VLOOKUP(Financeiros[[#This Row],[Grupo Tarifário]],RefTabGrupoTarifa[],2,FALSE),0)</f>
        <v>3</v>
      </c>
      <c r="L64" s="1609">
        <f>IFERROR(VLOOKUP(Financeiros[[#This Row],[Grupo Tarifário]],RefTabGrupoTarifa[],3,FALSE),0)</f>
        <v>16</v>
      </c>
      <c r="M64" s="1637">
        <f>IFERROR(VLOOKUP(Financeiros[[#This Row],[Grupo Tarifário]],RefTabGrupoTarifa[],4,FALSE),0)</f>
        <v>9</v>
      </c>
    </row>
    <row r="65" spans="3:13" ht="16.5" hidden="1">
      <c r="C65" s="1659" t="s">
        <v>2117</v>
      </c>
      <c r="D65" s="1758">
        <f>CVE!D17</f>
        <v>0</v>
      </c>
      <c r="E65" s="1620">
        <f t="shared" ca="1" si="10"/>
        <v>0</v>
      </c>
      <c r="F65" s="1608" t="s">
        <v>2231</v>
      </c>
      <c r="G65" s="1625" t="s">
        <v>2242</v>
      </c>
      <c r="H65" s="1609">
        <f>IFERROR(VLOOKUP(Financeiros[[#This Row],[Tipo]],RefTabTipo[],2,FALSE),0)</f>
        <v>22</v>
      </c>
      <c r="I65" s="1631">
        <f>IFERROR(VLOOKUP(Financeiros[[#This Row],[Tipo]],RefTabTipo[],3,FALSE),0)</f>
        <v>60</v>
      </c>
      <c r="J65" s="1610">
        <f>IFERROR(VLOOKUP(Financeiros[[#This Row],[Tipo]],RefTabTipo[],4,FALSE),0)</f>
        <v>241</v>
      </c>
      <c r="K65" s="1637">
        <f>IFERROR(VLOOKUP(Financeiros[[#This Row],[Grupo Tarifário]],RefTabGrupoTarifa[],2,FALSE),0)</f>
        <v>3</v>
      </c>
      <c r="L65" s="1609">
        <f>IFERROR(VLOOKUP(Financeiros[[#This Row],[Grupo Tarifário]],RefTabGrupoTarifa[],3,FALSE),0)</f>
        <v>17</v>
      </c>
      <c r="M65" s="1637">
        <f>IFERROR(VLOOKUP(Financeiros[[#This Row],[Grupo Tarifário]],RefTabGrupoTarifa[],4,FALSE),0)</f>
        <v>9</v>
      </c>
    </row>
    <row r="66" spans="3:13" ht="16.5" hidden="1">
      <c r="C66" s="1660" t="s">
        <v>2089</v>
      </c>
      <c r="D66" s="1759">
        <f ca="1">IFERROR('Financeiros Mitigação'!$D$5*H2,0)</f>
        <v>0</v>
      </c>
      <c r="E66" s="1621">
        <f t="shared" ca="1" si="10"/>
        <v>0</v>
      </c>
      <c r="F66" s="1605" t="s">
        <v>2233</v>
      </c>
      <c r="G66" s="1626" t="s">
        <v>2255</v>
      </c>
      <c r="H66" s="1606">
        <f>IFERROR(VLOOKUP(Financeiros[[#This Row],[Tipo]],RefTabTipo[],2,FALSE),0)</f>
        <v>22</v>
      </c>
      <c r="I66" s="1632">
        <f>IFERROR(VLOOKUP(Financeiros[[#This Row],[Tipo]],RefTabTipo[],3,FALSE),0)</f>
        <v>60</v>
      </c>
      <c r="J66" s="1607">
        <f>IFERROR(VLOOKUP(Financeiros[[#This Row],[Tipo]],RefTabTipo[],4,FALSE),0)</f>
        <v>240</v>
      </c>
      <c r="K66" s="1638">
        <f>IFERROR(VLOOKUP(Financeiros[[#This Row],[Grupo Tarifário]],RefTabGrupoTarifa[],2,FALSE),0)</f>
        <v>2</v>
      </c>
      <c r="L66" s="1606">
        <f>IFERROR(VLOOKUP(Financeiros[[#This Row],[Grupo Tarifário]],RefTabGrupoTarifa[],3,FALSE),0)</f>
        <v>11</v>
      </c>
      <c r="M66" s="1638">
        <f>IFERROR(VLOOKUP(Financeiros[[#This Row],[Grupo Tarifário]],RefTabGrupoTarifa[],4,FALSE),0)</f>
        <v>9</v>
      </c>
    </row>
    <row r="67" spans="3:13" ht="16.5" hidden="1">
      <c r="C67" s="1660" t="s">
        <v>2090</v>
      </c>
      <c r="D67" s="1759">
        <f ca="1">IFERROR('Financeiros Mitigação'!$D$5*H3,0)</f>
        <v>0</v>
      </c>
      <c r="E67" s="1621">
        <f t="shared" ca="1" si="10"/>
        <v>0</v>
      </c>
      <c r="F67" s="1605" t="s">
        <v>2233</v>
      </c>
      <c r="G67" s="1626" t="s">
        <v>2257</v>
      </c>
      <c r="H67" s="1606">
        <f>IFERROR(VLOOKUP(Financeiros[[#This Row],[Tipo]],RefTabTipo[],2,FALSE),0)</f>
        <v>22</v>
      </c>
      <c r="I67" s="1632">
        <f>IFERROR(VLOOKUP(Financeiros[[#This Row],[Tipo]],RefTabTipo[],3,FALSE),0)</f>
        <v>60</v>
      </c>
      <c r="J67" s="1607">
        <f>IFERROR(VLOOKUP(Financeiros[[#This Row],[Tipo]],RefTabTipo[],4,FALSE),0)</f>
        <v>240</v>
      </c>
      <c r="K67" s="1638">
        <f>IFERROR(VLOOKUP(Financeiros[[#This Row],[Grupo Tarifário]],RefTabGrupoTarifa[],2,FALSE),0)</f>
        <v>2</v>
      </c>
      <c r="L67" s="1606">
        <f>IFERROR(VLOOKUP(Financeiros[[#This Row],[Grupo Tarifário]],RefTabGrupoTarifa[],3,FALSE),0)</f>
        <v>9</v>
      </c>
      <c r="M67" s="1638">
        <f>IFERROR(VLOOKUP(Financeiros[[#This Row],[Grupo Tarifário]],RefTabGrupoTarifa[],4,FALSE),0)</f>
        <v>9</v>
      </c>
    </row>
    <row r="68" spans="3:13" ht="16.5" hidden="1">
      <c r="C68" s="1660" t="s">
        <v>2091</v>
      </c>
      <c r="D68" s="1759">
        <f ca="1">IFERROR('Financeiros Mitigação'!$D$5*H4,0)</f>
        <v>0</v>
      </c>
      <c r="E68" s="1621">
        <f t="shared" ca="1" si="10"/>
        <v>0</v>
      </c>
      <c r="F68" s="1605" t="s">
        <v>2233</v>
      </c>
      <c r="G68" s="1626" t="s">
        <v>2260</v>
      </c>
      <c r="H68" s="1606">
        <f>IFERROR(VLOOKUP(Financeiros[[#This Row],[Tipo]],RefTabTipo[],2,FALSE),0)</f>
        <v>22</v>
      </c>
      <c r="I68" s="1632">
        <f>IFERROR(VLOOKUP(Financeiros[[#This Row],[Tipo]],RefTabTipo[],3,FALSE),0)</f>
        <v>60</v>
      </c>
      <c r="J68" s="1607">
        <f>IFERROR(VLOOKUP(Financeiros[[#This Row],[Tipo]],RefTabTipo[],4,FALSE),0)</f>
        <v>240</v>
      </c>
      <c r="K68" s="1638">
        <f>IFERROR(VLOOKUP(Financeiros[[#This Row],[Grupo Tarifário]],RefTabGrupoTarifa[],2,FALSE),0)</f>
        <v>2</v>
      </c>
      <c r="L68" s="1606">
        <f>IFERROR(VLOOKUP(Financeiros[[#This Row],[Grupo Tarifário]],RefTabGrupoTarifa[],3,FALSE),0)</f>
        <v>8</v>
      </c>
      <c r="M68" s="1638">
        <f>IFERROR(VLOOKUP(Financeiros[[#This Row],[Grupo Tarifário]],RefTabGrupoTarifa[],4,FALSE),0)</f>
        <v>9</v>
      </c>
    </row>
    <row r="69" spans="3:13" ht="16.5" hidden="1">
      <c r="C69" s="1660" t="s">
        <v>2092</v>
      </c>
      <c r="D69" s="1759">
        <f ca="1">IFERROR('Financeiros Mitigação'!$D$5*H5,0)</f>
        <v>0</v>
      </c>
      <c r="E69" s="1621">
        <f t="shared" ca="1" si="10"/>
        <v>0</v>
      </c>
      <c r="F69" s="1605" t="s">
        <v>2233</v>
      </c>
      <c r="G69" s="1626" t="s">
        <v>2258</v>
      </c>
      <c r="H69" s="1606">
        <f>IFERROR(VLOOKUP(Financeiros[[#This Row],[Tipo]],RefTabTipo[],2,FALSE),0)</f>
        <v>22</v>
      </c>
      <c r="I69" s="1632">
        <f>IFERROR(VLOOKUP(Financeiros[[#This Row],[Tipo]],RefTabTipo[],3,FALSE),0)</f>
        <v>60</v>
      </c>
      <c r="J69" s="1607">
        <f>IFERROR(VLOOKUP(Financeiros[[#This Row],[Tipo]],RefTabTipo[],4,FALSE),0)</f>
        <v>240</v>
      </c>
      <c r="K69" s="1638">
        <f>IFERROR(VLOOKUP(Financeiros[[#This Row],[Grupo Tarifário]],RefTabGrupoTarifa[],2,FALSE),0)</f>
        <v>2</v>
      </c>
      <c r="L69" s="1606">
        <f>IFERROR(VLOOKUP(Financeiros[[#This Row],[Grupo Tarifário]],RefTabGrupoTarifa[],3,FALSE),0)</f>
        <v>10</v>
      </c>
      <c r="M69" s="1638">
        <f>IFERROR(VLOOKUP(Financeiros[[#This Row],[Grupo Tarifário]],RefTabGrupoTarifa[],4,FALSE),0)</f>
        <v>9</v>
      </c>
    </row>
    <row r="70" spans="3:13" ht="16.5" hidden="1">
      <c r="C70" s="1660" t="s">
        <v>2093</v>
      </c>
      <c r="D70" s="1759">
        <f ca="1">IFERROR('Financeiros Mitigação'!$D$5*H6,0)</f>
        <v>0</v>
      </c>
      <c r="E70" s="1621">
        <f t="shared" ca="1" si="10"/>
        <v>0</v>
      </c>
      <c r="F70" s="1605" t="s">
        <v>2233</v>
      </c>
      <c r="G70" s="1626" t="s">
        <v>2259</v>
      </c>
      <c r="H70" s="1606">
        <f>IFERROR(VLOOKUP(Financeiros[[#This Row],[Tipo]],RefTabTipo[],2,FALSE),0)</f>
        <v>22</v>
      </c>
      <c r="I70" s="1632">
        <f>IFERROR(VLOOKUP(Financeiros[[#This Row],[Tipo]],RefTabTipo[],3,FALSE),0)</f>
        <v>60</v>
      </c>
      <c r="J70" s="1607">
        <f>IFERROR(VLOOKUP(Financeiros[[#This Row],[Tipo]],RefTabTipo[],4,FALSE),0)</f>
        <v>240</v>
      </c>
      <c r="K70" s="1638">
        <f>IFERROR(VLOOKUP(Financeiros[[#This Row],[Grupo Tarifário]],RefTabGrupoTarifa[],2,FALSE),0)</f>
        <v>2</v>
      </c>
      <c r="L70" s="1606">
        <f>IFERROR(VLOOKUP(Financeiros[[#This Row],[Grupo Tarifário]],RefTabGrupoTarifa[],3,FALSE),0)</f>
        <v>24</v>
      </c>
      <c r="M70" s="1638">
        <f>IFERROR(VLOOKUP(Financeiros[[#This Row],[Grupo Tarifário]],RefTabGrupoTarifa[],4,FALSE),0)</f>
        <v>9</v>
      </c>
    </row>
    <row r="71" spans="3:13" ht="16.5" hidden="1">
      <c r="C71" s="1660" t="s">
        <v>2094</v>
      </c>
      <c r="D71" s="1759">
        <f>IFERROR('Financeiros Mitigação'!D6,0)</f>
        <v>0</v>
      </c>
      <c r="E71" s="1621">
        <f t="shared" ca="1" si="10"/>
        <v>0</v>
      </c>
      <c r="F71" s="1605" t="s">
        <v>2233</v>
      </c>
      <c r="G71" s="1626" t="s">
        <v>2242</v>
      </c>
      <c r="H71" s="1606">
        <f>IFERROR(VLOOKUP(Financeiros[[#This Row],[Tipo]],RefTabTipo[],2,FALSE),0)</f>
        <v>22</v>
      </c>
      <c r="I71" s="1632">
        <f>IFERROR(VLOOKUP(Financeiros[[#This Row],[Tipo]],RefTabTipo[],3,FALSE),0)</f>
        <v>60</v>
      </c>
      <c r="J71" s="1607">
        <f>IFERROR(VLOOKUP(Financeiros[[#This Row],[Tipo]],RefTabTipo[],4,FALSE),0)</f>
        <v>240</v>
      </c>
      <c r="K71" s="1638">
        <f>IFERROR(VLOOKUP(Financeiros[[#This Row],[Grupo Tarifário]],RefTabGrupoTarifa[],2,FALSE),0)</f>
        <v>3</v>
      </c>
      <c r="L71" s="1606">
        <f>IFERROR(VLOOKUP(Financeiros[[#This Row],[Grupo Tarifário]],RefTabGrupoTarifa[],3,FALSE),0)</f>
        <v>17</v>
      </c>
      <c r="M71" s="1638">
        <f>IFERROR(VLOOKUP(Financeiros[[#This Row],[Grupo Tarifário]],RefTabGrupoTarifa[],4,FALSE),0)</f>
        <v>9</v>
      </c>
    </row>
    <row r="72" spans="3:13" ht="16.5" hidden="1">
      <c r="C72" s="1660" t="s">
        <v>2095</v>
      </c>
      <c r="D72" s="1759">
        <f ca="1">IFERROR('Financeiros Mitigação'!$D$7*H2,0)</f>
        <v>0</v>
      </c>
      <c r="E72" s="1621">
        <f t="shared" ca="1" si="10"/>
        <v>0</v>
      </c>
      <c r="F72" s="1605" t="s">
        <v>2233</v>
      </c>
      <c r="G72" s="1626" t="s">
        <v>2255</v>
      </c>
      <c r="H72" s="1606">
        <f>IFERROR(VLOOKUP(Financeiros[[#This Row],[Tipo]],RefTabTipo[],2,FALSE),0)</f>
        <v>22</v>
      </c>
      <c r="I72" s="1632">
        <f>IFERROR(VLOOKUP(Financeiros[[#This Row],[Tipo]],RefTabTipo[],3,FALSE),0)</f>
        <v>60</v>
      </c>
      <c r="J72" s="1607">
        <f>IFERROR(VLOOKUP(Financeiros[[#This Row],[Tipo]],RefTabTipo[],4,FALSE),0)</f>
        <v>240</v>
      </c>
      <c r="K72" s="1638">
        <f>IFERROR(VLOOKUP(Financeiros[[#This Row],[Grupo Tarifário]],RefTabGrupoTarifa[],2,FALSE),0)</f>
        <v>2</v>
      </c>
      <c r="L72" s="1606">
        <f>IFERROR(VLOOKUP(Financeiros[[#This Row],[Grupo Tarifário]],RefTabGrupoTarifa[],3,FALSE),0)</f>
        <v>11</v>
      </c>
      <c r="M72" s="1638">
        <f>IFERROR(VLOOKUP(Financeiros[[#This Row],[Grupo Tarifário]],RefTabGrupoTarifa[],4,FALSE),0)</f>
        <v>9</v>
      </c>
    </row>
    <row r="73" spans="3:13" ht="16.5" hidden="1">
      <c r="C73" s="1660" t="s">
        <v>2096</v>
      </c>
      <c r="D73" s="1759">
        <f ca="1">IFERROR('Financeiros Mitigação'!$D$7*H3,0)</f>
        <v>0</v>
      </c>
      <c r="E73" s="1621">
        <f t="shared" ca="1" si="10"/>
        <v>0</v>
      </c>
      <c r="F73" s="1605" t="s">
        <v>2233</v>
      </c>
      <c r="G73" s="1626" t="s">
        <v>2257</v>
      </c>
      <c r="H73" s="1606">
        <f>IFERROR(VLOOKUP(Financeiros[[#This Row],[Tipo]],RefTabTipo[],2,FALSE),0)</f>
        <v>22</v>
      </c>
      <c r="I73" s="1632">
        <f>IFERROR(VLOOKUP(Financeiros[[#This Row],[Tipo]],RefTabTipo[],3,FALSE),0)</f>
        <v>60</v>
      </c>
      <c r="J73" s="1607">
        <f>IFERROR(VLOOKUP(Financeiros[[#This Row],[Tipo]],RefTabTipo[],4,FALSE),0)</f>
        <v>240</v>
      </c>
      <c r="K73" s="1638">
        <f>IFERROR(VLOOKUP(Financeiros[[#This Row],[Grupo Tarifário]],RefTabGrupoTarifa[],2,FALSE),0)</f>
        <v>2</v>
      </c>
      <c r="L73" s="1606">
        <f>IFERROR(VLOOKUP(Financeiros[[#This Row],[Grupo Tarifário]],RefTabGrupoTarifa[],3,FALSE),0)</f>
        <v>9</v>
      </c>
      <c r="M73" s="1638">
        <f>IFERROR(VLOOKUP(Financeiros[[#This Row],[Grupo Tarifário]],RefTabGrupoTarifa[],4,FALSE),0)</f>
        <v>9</v>
      </c>
    </row>
    <row r="74" spans="3:13" ht="16.5" hidden="1">
      <c r="C74" s="1660" t="s">
        <v>2097</v>
      </c>
      <c r="D74" s="1759">
        <f ca="1">IFERROR('Financeiros Mitigação'!$D$7*H4,0)</f>
        <v>0</v>
      </c>
      <c r="E74" s="1621">
        <f t="shared" ca="1" si="10"/>
        <v>0</v>
      </c>
      <c r="F74" s="1605" t="s">
        <v>2233</v>
      </c>
      <c r="G74" s="1626" t="s">
        <v>2260</v>
      </c>
      <c r="H74" s="1606">
        <f>IFERROR(VLOOKUP(Financeiros[[#This Row],[Tipo]],RefTabTipo[],2,FALSE),0)</f>
        <v>22</v>
      </c>
      <c r="I74" s="1632">
        <f>IFERROR(VLOOKUP(Financeiros[[#This Row],[Tipo]],RefTabTipo[],3,FALSE),0)</f>
        <v>60</v>
      </c>
      <c r="J74" s="1607">
        <f>IFERROR(VLOOKUP(Financeiros[[#This Row],[Tipo]],RefTabTipo[],4,FALSE),0)</f>
        <v>240</v>
      </c>
      <c r="K74" s="1638">
        <f>IFERROR(VLOOKUP(Financeiros[[#This Row],[Grupo Tarifário]],RefTabGrupoTarifa[],2,FALSE),0)</f>
        <v>2</v>
      </c>
      <c r="L74" s="1606">
        <f>IFERROR(VLOOKUP(Financeiros[[#This Row],[Grupo Tarifário]],RefTabGrupoTarifa[],3,FALSE),0)</f>
        <v>8</v>
      </c>
      <c r="M74" s="1638">
        <f>IFERROR(VLOOKUP(Financeiros[[#This Row],[Grupo Tarifário]],RefTabGrupoTarifa[],4,FALSE),0)</f>
        <v>9</v>
      </c>
    </row>
    <row r="75" spans="3:13" ht="16.5" hidden="1">
      <c r="C75" s="1660" t="s">
        <v>2098</v>
      </c>
      <c r="D75" s="1759">
        <f ca="1">IFERROR('Financeiros Mitigação'!$D$7*H5,0)</f>
        <v>0</v>
      </c>
      <c r="E75" s="1621">
        <f t="shared" ca="1" si="10"/>
        <v>0</v>
      </c>
      <c r="F75" s="1605" t="s">
        <v>2233</v>
      </c>
      <c r="G75" s="1626" t="s">
        <v>2258</v>
      </c>
      <c r="H75" s="1606">
        <f>IFERROR(VLOOKUP(Financeiros[[#This Row],[Tipo]],RefTabTipo[],2,FALSE),0)</f>
        <v>22</v>
      </c>
      <c r="I75" s="1632">
        <f>IFERROR(VLOOKUP(Financeiros[[#This Row],[Tipo]],RefTabTipo[],3,FALSE),0)</f>
        <v>60</v>
      </c>
      <c r="J75" s="1607">
        <f>IFERROR(VLOOKUP(Financeiros[[#This Row],[Tipo]],RefTabTipo[],4,FALSE),0)</f>
        <v>240</v>
      </c>
      <c r="K75" s="1638">
        <f>IFERROR(VLOOKUP(Financeiros[[#This Row],[Grupo Tarifário]],RefTabGrupoTarifa[],2,FALSE),0)</f>
        <v>2</v>
      </c>
      <c r="L75" s="1606">
        <f>IFERROR(VLOOKUP(Financeiros[[#This Row],[Grupo Tarifário]],RefTabGrupoTarifa[],3,FALSE),0)</f>
        <v>10</v>
      </c>
      <c r="M75" s="1638">
        <f>IFERROR(VLOOKUP(Financeiros[[#This Row],[Grupo Tarifário]],RefTabGrupoTarifa[],4,FALSE),0)</f>
        <v>9</v>
      </c>
    </row>
    <row r="76" spans="3:13" ht="16.5" hidden="1">
      <c r="C76" s="1660" t="s">
        <v>2099</v>
      </c>
      <c r="D76" s="1759">
        <f ca="1">IFERROR('Financeiros Mitigação'!$D$7*H6,0)</f>
        <v>0</v>
      </c>
      <c r="E76" s="1621">
        <f t="shared" ca="1" si="10"/>
        <v>0</v>
      </c>
      <c r="F76" s="1626" t="s">
        <v>2233</v>
      </c>
      <c r="G76" s="1626" t="s">
        <v>2259</v>
      </c>
      <c r="H76" s="1638">
        <f>IFERROR(VLOOKUP(Financeiros[[#This Row],[Tipo]],RefTabTipo[],2,FALSE),0)</f>
        <v>22</v>
      </c>
      <c r="I76" s="1632">
        <f>IFERROR(VLOOKUP(Financeiros[[#This Row],[Tipo]],RefTabTipo[],3,FALSE),0)</f>
        <v>60</v>
      </c>
      <c r="J76" s="1632">
        <f>IFERROR(VLOOKUP(Financeiros[[#This Row],[Tipo]],RefTabTipo[],4,FALSE),0)</f>
        <v>240</v>
      </c>
      <c r="K76" s="1638">
        <f>IFERROR(VLOOKUP(Financeiros[[#This Row],[Grupo Tarifário]],RefTabGrupoTarifa[],2,FALSE),0)</f>
        <v>2</v>
      </c>
      <c r="L76" s="1638">
        <f>IFERROR(VLOOKUP(Financeiros[[#This Row],[Grupo Tarifário]],RefTabGrupoTarifa[],3,FALSE),0)</f>
        <v>24</v>
      </c>
      <c r="M76" s="1638">
        <f>IFERROR(VLOOKUP(Financeiros[[#This Row],[Grupo Tarifário]],RefTabGrupoTarifa[],4,FALSE),0)</f>
        <v>9</v>
      </c>
    </row>
    <row r="77" spans="3:13" ht="16.5" hidden="1">
      <c r="C77" s="1661" t="s">
        <v>2310</v>
      </c>
      <c r="D77" s="1760">
        <f ca="1">IFERROR(CVE!$I$9*H2,0)</f>
        <v>0</v>
      </c>
      <c r="E77" s="1622">
        <f t="shared" ca="1" si="10"/>
        <v>0</v>
      </c>
      <c r="F77" s="1627" t="s">
        <v>2238</v>
      </c>
      <c r="G77" s="1627" t="s">
        <v>2255</v>
      </c>
      <c r="H77" s="1639">
        <f>IFERROR(VLOOKUP(Financeiros[[#This Row],[Tipo]],RefTabTipo[],2,FALSE),0)</f>
        <v>22</v>
      </c>
      <c r="I77" s="1633">
        <f>IFERROR(VLOOKUP(Financeiros[[#This Row],[Tipo]],RefTabTipo[],3,FALSE),0)</f>
        <v>60</v>
      </c>
      <c r="J77" s="1633">
        <f>IFERROR(VLOOKUP(Financeiros[[#This Row],[Tipo]],RefTabTipo[],4,FALSE),0)</f>
        <v>106</v>
      </c>
      <c r="K77" s="1639">
        <f>IFERROR(VLOOKUP(Financeiros[[#This Row],[Grupo Tarifário]],RefTabGrupoTarifa[],2,FALSE),0)</f>
        <v>2</v>
      </c>
      <c r="L77" s="1639">
        <f>IFERROR(VLOOKUP(Financeiros[[#This Row],[Grupo Tarifário]],RefTabGrupoTarifa[],3,FALSE),0)</f>
        <v>11</v>
      </c>
      <c r="M77" s="1639">
        <f>IFERROR(VLOOKUP(Financeiros[[#This Row],[Grupo Tarifário]],RefTabGrupoTarifa[],4,FALSE),0)</f>
        <v>9</v>
      </c>
    </row>
    <row r="78" spans="3:13" ht="16.5" hidden="1">
      <c r="C78" s="1661" t="s">
        <v>2311</v>
      </c>
      <c r="D78" s="1760">
        <f ca="1">IFERROR(CVE!$I$9*H3,0)</f>
        <v>0</v>
      </c>
      <c r="E78" s="1622">
        <f t="shared" ca="1" si="10"/>
        <v>0</v>
      </c>
      <c r="F78" s="1627" t="s">
        <v>2238</v>
      </c>
      <c r="G78" s="1627" t="s">
        <v>2257</v>
      </c>
      <c r="H78" s="1639">
        <f>IFERROR(VLOOKUP(Financeiros[[#This Row],[Tipo]],RefTabTipo[],2,FALSE),0)</f>
        <v>22</v>
      </c>
      <c r="I78" s="1633">
        <f>IFERROR(VLOOKUP(Financeiros[[#This Row],[Tipo]],RefTabTipo[],3,FALSE),0)</f>
        <v>60</v>
      </c>
      <c r="J78" s="1633">
        <f>IFERROR(VLOOKUP(Financeiros[[#This Row],[Tipo]],RefTabTipo[],4,FALSE),0)</f>
        <v>106</v>
      </c>
      <c r="K78" s="1639">
        <f>IFERROR(VLOOKUP(Financeiros[[#This Row],[Grupo Tarifário]],RefTabGrupoTarifa[],2,FALSE),0)</f>
        <v>2</v>
      </c>
      <c r="L78" s="1639">
        <f>IFERROR(VLOOKUP(Financeiros[[#This Row],[Grupo Tarifário]],RefTabGrupoTarifa[],3,FALSE),0)</f>
        <v>9</v>
      </c>
      <c r="M78" s="1639">
        <f>IFERROR(VLOOKUP(Financeiros[[#This Row],[Grupo Tarifário]],RefTabGrupoTarifa[],4,FALSE),0)</f>
        <v>9</v>
      </c>
    </row>
    <row r="79" spans="3:13" ht="16.5" hidden="1">
      <c r="C79" s="1661" t="s">
        <v>2312</v>
      </c>
      <c r="D79" s="1760">
        <f ca="1">IFERROR(CVE!$I$9*H4,0)</f>
        <v>0</v>
      </c>
      <c r="E79" s="1622">
        <f t="shared" ca="1" si="10"/>
        <v>0</v>
      </c>
      <c r="F79" s="1627" t="s">
        <v>2238</v>
      </c>
      <c r="G79" s="1627" t="s">
        <v>2260</v>
      </c>
      <c r="H79" s="1639">
        <f>IFERROR(VLOOKUP(Financeiros[[#This Row],[Tipo]],RefTabTipo[],2,FALSE),0)</f>
        <v>22</v>
      </c>
      <c r="I79" s="1633">
        <f>IFERROR(VLOOKUP(Financeiros[[#This Row],[Tipo]],RefTabTipo[],3,FALSE),0)</f>
        <v>60</v>
      </c>
      <c r="J79" s="1633">
        <f>IFERROR(VLOOKUP(Financeiros[[#This Row],[Tipo]],RefTabTipo[],4,FALSE),0)</f>
        <v>106</v>
      </c>
      <c r="K79" s="1639">
        <f>IFERROR(VLOOKUP(Financeiros[[#This Row],[Grupo Tarifário]],RefTabGrupoTarifa[],2,FALSE),0)</f>
        <v>2</v>
      </c>
      <c r="L79" s="1639">
        <f>IFERROR(VLOOKUP(Financeiros[[#This Row],[Grupo Tarifário]],RefTabGrupoTarifa[],3,FALSE),0)</f>
        <v>8</v>
      </c>
      <c r="M79" s="1639">
        <f>IFERROR(VLOOKUP(Financeiros[[#This Row],[Grupo Tarifário]],RefTabGrupoTarifa[],4,FALSE),0)</f>
        <v>9</v>
      </c>
    </row>
    <row r="80" spans="3:13" ht="16.5" hidden="1">
      <c r="C80" s="1661" t="s">
        <v>2313</v>
      </c>
      <c r="D80" s="1760">
        <f ca="1">IFERROR(CVE!$I$9*H5,0)</f>
        <v>0</v>
      </c>
      <c r="E80" s="1622">
        <f t="shared" ca="1" si="10"/>
        <v>0</v>
      </c>
      <c r="F80" s="1627" t="s">
        <v>2238</v>
      </c>
      <c r="G80" s="1627" t="s">
        <v>2258</v>
      </c>
      <c r="H80" s="1639">
        <f>IFERROR(VLOOKUP(Financeiros[[#This Row],[Tipo]],RefTabTipo[],2,FALSE),0)</f>
        <v>22</v>
      </c>
      <c r="I80" s="1633">
        <f>IFERROR(VLOOKUP(Financeiros[[#This Row],[Tipo]],RefTabTipo[],3,FALSE),0)</f>
        <v>60</v>
      </c>
      <c r="J80" s="1633">
        <f>IFERROR(VLOOKUP(Financeiros[[#This Row],[Tipo]],RefTabTipo[],4,FALSE),0)</f>
        <v>106</v>
      </c>
      <c r="K80" s="1639">
        <f>IFERROR(VLOOKUP(Financeiros[[#This Row],[Grupo Tarifário]],RefTabGrupoTarifa[],2,FALSE),0)</f>
        <v>2</v>
      </c>
      <c r="L80" s="1639">
        <f>IFERROR(VLOOKUP(Financeiros[[#This Row],[Grupo Tarifário]],RefTabGrupoTarifa[],3,FALSE),0)</f>
        <v>10</v>
      </c>
      <c r="M80" s="1639">
        <f>IFERROR(VLOOKUP(Financeiros[[#This Row],[Grupo Tarifário]],RefTabGrupoTarifa[],4,FALSE),0)</f>
        <v>9</v>
      </c>
    </row>
    <row r="81" spans="3:13" ht="16.5" hidden="1">
      <c r="C81" s="1661" t="s">
        <v>2314</v>
      </c>
      <c r="D81" s="1760">
        <f ca="1">IFERROR(CVE!$I$9*H6,0)</f>
        <v>0</v>
      </c>
      <c r="E81" s="1622">
        <f t="shared" ca="1" si="10"/>
        <v>0</v>
      </c>
      <c r="F81" s="1627" t="s">
        <v>2238</v>
      </c>
      <c r="G81" s="1627" t="s">
        <v>2259</v>
      </c>
      <c r="H81" s="1639">
        <f>IFERROR(VLOOKUP(Financeiros[[#This Row],[Tipo]],RefTabTipo[],2,FALSE),0)</f>
        <v>22</v>
      </c>
      <c r="I81" s="1633">
        <f>IFERROR(VLOOKUP(Financeiros[[#This Row],[Tipo]],RefTabTipo[],3,FALSE),0)</f>
        <v>60</v>
      </c>
      <c r="J81" s="1633">
        <f>IFERROR(VLOOKUP(Financeiros[[#This Row],[Tipo]],RefTabTipo[],4,FALSE),0)</f>
        <v>106</v>
      </c>
      <c r="K81" s="1639">
        <f>IFERROR(VLOOKUP(Financeiros[[#This Row],[Grupo Tarifário]],RefTabGrupoTarifa[],2,FALSE),0)</f>
        <v>2</v>
      </c>
      <c r="L81" s="1639">
        <f>IFERROR(VLOOKUP(Financeiros[[#This Row],[Grupo Tarifário]],RefTabGrupoTarifa[],3,FALSE),0)</f>
        <v>24</v>
      </c>
      <c r="M81" s="1639">
        <f>IFERROR(VLOOKUP(Financeiros[[#This Row],[Grupo Tarifário]],RefTabGrupoTarifa[],4,FALSE),0)</f>
        <v>9</v>
      </c>
    </row>
    <row r="82" spans="3:13" ht="16.5" hidden="1">
      <c r="C82" s="1662" t="s">
        <v>2291</v>
      </c>
      <c r="D82" s="1761">
        <f ca="1">IFERROR(CVE!$I$15*H2,0)</f>
        <v>0</v>
      </c>
      <c r="E82" s="1671">
        <f t="shared" ca="1" si="10"/>
        <v>0</v>
      </c>
      <c r="F82" s="1628" t="s">
        <v>1303</v>
      </c>
      <c r="G82" s="1628" t="s">
        <v>2255</v>
      </c>
      <c r="H82" s="1640">
        <f>IFERROR(VLOOKUP(Financeiros[[#This Row],[Tipo]],RefTabTipo[],2,FALSE),0)</f>
        <v>22</v>
      </c>
      <c r="I82" s="1634">
        <f>IFERROR(VLOOKUP(Financeiros[[#This Row],[Tipo]],RefTabTipo[],3,FALSE),0)</f>
        <v>62</v>
      </c>
      <c r="J82" s="1634">
        <f>IFERROR(VLOOKUP(Financeiros[[#This Row],[Tipo]],RefTabTipo[],4,FALSE),0)</f>
        <v>220</v>
      </c>
      <c r="K82" s="1640">
        <f>IFERROR(VLOOKUP(Financeiros[[#This Row],[Grupo Tarifário]],RefTabGrupoTarifa[],2,FALSE),0)</f>
        <v>2</v>
      </c>
      <c r="L82" s="1640">
        <f>IFERROR(VLOOKUP(Financeiros[[#This Row],[Grupo Tarifário]],RefTabGrupoTarifa[],3,FALSE),0)</f>
        <v>11</v>
      </c>
      <c r="M82" s="1640">
        <f>IFERROR(VLOOKUP(Financeiros[[#This Row],[Grupo Tarifário]],RefTabGrupoTarifa[],4,FALSE),0)</f>
        <v>9</v>
      </c>
    </row>
    <row r="83" spans="3:13" ht="16.5" hidden="1">
      <c r="C83" s="1662" t="s">
        <v>2292</v>
      </c>
      <c r="D83" s="1761">
        <f ca="1">IFERROR(CVE!$I$15*H3,0)</f>
        <v>0</v>
      </c>
      <c r="E83" s="1671">
        <f t="shared" ca="1" si="10"/>
        <v>0</v>
      </c>
      <c r="F83" s="1628" t="s">
        <v>1303</v>
      </c>
      <c r="G83" s="1628" t="s">
        <v>2257</v>
      </c>
      <c r="H83" s="1641">
        <f>IFERROR(VLOOKUP(Financeiros[[#This Row],[Tipo]],RefTabTipo[],2,FALSE),0)</f>
        <v>22</v>
      </c>
      <c r="I83" s="1635">
        <f>IFERROR(VLOOKUP(Financeiros[[#This Row],[Tipo]],RefTabTipo[],3,FALSE),0)</f>
        <v>62</v>
      </c>
      <c r="J83" s="1635">
        <f>IFERROR(VLOOKUP(Financeiros[[#This Row],[Tipo]],RefTabTipo[],4,FALSE),0)</f>
        <v>220</v>
      </c>
      <c r="K83" s="1641">
        <f>IFERROR(VLOOKUP(Financeiros[[#This Row],[Grupo Tarifário]],RefTabGrupoTarifa[],2,FALSE),0)</f>
        <v>2</v>
      </c>
      <c r="L83" s="1641">
        <f>IFERROR(VLOOKUP(Financeiros[[#This Row],[Grupo Tarifário]],RefTabGrupoTarifa[],3,FALSE),0)</f>
        <v>9</v>
      </c>
      <c r="M83" s="1641">
        <f>IFERROR(VLOOKUP(Financeiros[[#This Row],[Grupo Tarifário]],RefTabGrupoTarifa[],4,FALSE),0)</f>
        <v>9</v>
      </c>
    </row>
    <row r="84" spans="3:13" ht="16.5" hidden="1">
      <c r="C84" s="1662" t="s">
        <v>2293</v>
      </c>
      <c r="D84" s="1761">
        <f ca="1">IFERROR(CVE!$I$15*H4,0)</f>
        <v>0</v>
      </c>
      <c r="E84" s="1671">
        <f t="shared" ca="1" si="10"/>
        <v>0</v>
      </c>
      <c r="F84" s="1628" t="s">
        <v>1303</v>
      </c>
      <c r="G84" s="1628" t="s">
        <v>2260</v>
      </c>
      <c r="H84" s="1641">
        <f>IFERROR(VLOOKUP(Financeiros[[#This Row],[Tipo]],RefTabTipo[],2,FALSE),0)</f>
        <v>22</v>
      </c>
      <c r="I84" s="1635">
        <f>IFERROR(VLOOKUP(Financeiros[[#This Row],[Tipo]],RefTabTipo[],3,FALSE),0)</f>
        <v>62</v>
      </c>
      <c r="J84" s="1635">
        <f>IFERROR(VLOOKUP(Financeiros[[#This Row],[Tipo]],RefTabTipo[],4,FALSE),0)</f>
        <v>220</v>
      </c>
      <c r="K84" s="1641">
        <f>IFERROR(VLOOKUP(Financeiros[[#This Row],[Grupo Tarifário]],RefTabGrupoTarifa[],2,FALSE),0)</f>
        <v>2</v>
      </c>
      <c r="L84" s="1641">
        <f>IFERROR(VLOOKUP(Financeiros[[#This Row],[Grupo Tarifário]],RefTabGrupoTarifa[],3,FALSE),0)</f>
        <v>8</v>
      </c>
      <c r="M84" s="1641">
        <f>IFERROR(VLOOKUP(Financeiros[[#This Row],[Grupo Tarifário]],RefTabGrupoTarifa[],4,FALSE),0)</f>
        <v>9</v>
      </c>
    </row>
    <row r="85" spans="3:13" ht="16.5" hidden="1">
      <c r="C85" s="1662" t="s">
        <v>2294</v>
      </c>
      <c r="D85" s="1761">
        <f ca="1">IFERROR(CVE!$I$15*H5,0)</f>
        <v>0</v>
      </c>
      <c r="E85" s="1671">
        <f t="shared" ca="1" si="10"/>
        <v>0</v>
      </c>
      <c r="F85" s="1628" t="s">
        <v>1303</v>
      </c>
      <c r="G85" s="1628" t="s">
        <v>2258</v>
      </c>
      <c r="H85" s="1641">
        <f>IFERROR(VLOOKUP(Financeiros[[#This Row],[Tipo]],RefTabTipo[],2,FALSE),0)</f>
        <v>22</v>
      </c>
      <c r="I85" s="1635">
        <f>IFERROR(VLOOKUP(Financeiros[[#This Row],[Tipo]],RefTabTipo[],3,FALSE),0)</f>
        <v>62</v>
      </c>
      <c r="J85" s="1635">
        <f>IFERROR(VLOOKUP(Financeiros[[#This Row],[Tipo]],RefTabTipo[],4,FALSE),0)</f>
        <v>220</v>
      </c>
      <c r="K85" s="1641">
        <f>IFERROR(VLOOKUP(Financeiros[[#This Row],[Grupo Tarifário]],RefTabGrupoTarifa[],2,FALSE),0)</f>
        <v>2</v>
      </c>
      <c r="L85" s="1641">
        <f>IFERROR(VLOOKUP(Financeiros[[#This Row],[Grupo Tarifário]],RefTabGrupoTarifa[],3,FALSE),0)</f>
        <v>10</v>
      </c>
      <c r="M85" s="1641">
        <f>IFERROR(VLOOKUP(Financeiros[[#This Row],[Grupo Tarifário]],RefTabGrupoTarifa[],4,FALSE),0)</f>
        <v>9</v>
      </c>
    </row>
    <row r="86" spans="3:13" ht="16.5" hidden="1">
      <c r="C86" s="1662" t="s">
        <v>2295</v>
      </c>
      <c r="D86" s="1761">
        <f ca="1">IFERROR(CVE!$I$15*H6,0)</f>
        <v>0</v>
      </c>
      <c r="E86" s="1671">
        <f t="shared" ca="1" si="10"/>
        <v>0</v>
      </c>
      <c r="F86" s="1628" t="s">
        <v>1303</v>
      </c>
      <c r="G86" s="1628" t="s">
        <v>2259</v>
      </c>
      <c r="H86" s="1641">
        <f>IFERROR(VLOOKUP(Financeiros[[#This Row],[Tipo]],RefTabTipo[],2,FALSE),0)</f>
        <v>22</v>
      </c>
      <c r="I86" s="1635">
        <f>IFERROR(VLOOKUP(Financeiros[[#This Row],[Tipo]],RefTabTipo[],3,FALSE),0)</f>
        <v>62</v>
      </c>
      <c r="J86" s="1635">
        <f>IFERROR(VLOOKUP(Financeiros[[#This Row],[Tipo]],RefTabTipo[],4,FALSE),0)</f>
        <v>220</v>
      </c>
      <c r="K86" s="1641">
        <f>IFERROR(VLOOKUP(Financeiros[[#This Row],[Grupo Tarifário]],RefTabGrupoTarifa[],2,FALSE),0)</f>
        <v>2</v>
      </c>
      <c r="L86" s="1641">
        <f>IFERROR(VLOOKUP(Financeiros[[#This Row],[Grupo Tarifário]],RefTabGrupoTarifa[],3,FALSE),0)</f>
        <v>24</v>
      </c>
      <c r="M86" s="1641">
        <f>IFERROR(VLOOKUP(Financeiros[[#This Row],[Grupo Tarifário]],RefTabGrupoTarifa[],4,FALSE),0)</f>
        <v>9</v>
      </c>
    </row>
    <row r="87" spans="3:13" ht="16.5" hidden="1">
      <c r="C87" s="1670" t="s">
        <v>2296</v>
      </c>
      <c r="D87" s="1762">
        <f ca="1">IFERROR(Energia!$K$66*H2,0)</f>
        <v>0</v>
      </c>
      <c r="E87" s="1671">
        <f t="shared" ca="1" si="10"/>
        <v>0</v>
      </c>
      <c r="F87" s="1628" t="s">
        <v>2276</v>
      </c>
      <c r="G87" s="1628" t="s">
        <v>2255</v>
      </c>
      <c r="H87" s="1641">
        <f>IFERROR(VLOOKUP(Financeiros[[#This Row],[Tipo]],RefTabTipo[],2,FALSE),0)</f>
        <v>22</v>
      </c>
      <c r="I87" s="1635">
        <f>IFERROR(VLOOKUP(Financeiros[[#This Row],[Tipo]],RefTabTipo[],3,FALSE),0)</f>
        <v>60</v>
      </c>
      <c r="J87" s="1635">
        <f>IFERROR(VLOOKUP(Financeiros[[#This Row],[Tipo]],RefTabTipo[],4,FALSE),0)</f>
        <v>220</v>
      </c>
      <c r="K87" s="1641">
        <f>IFERROR(VLOOKUP(Financeiros[[#This Row],[Grupo Tarifário]],RefTabGrupoTarifa[],2,FALSE),0)</f>
        <v>2</v>
      </c>
      <c r="L87" s="1641">
        <f>IFERROR(VLOOKUP(Financeiros[[#This Row],[Grupo Tarifário]],RefTabGrupoTarifa[],3,FALSE),0)</f>
        <v>11</v>
      </c>
      <c r="M87" s="1641">
        <f>IFERROR(VLOOKUP(Financeiros[[#This Row],[Grupo Tarifário]],RefTabGrupoTarifa[],4,FALSE),0)</f>
        <v>9</v>
      </c>
    </row>
    <row r="88" spans="3:13" ht="16.5" hidden="1">
      <c r="C88" s="1670" t="s">
        <v>2297</v>
      </c>
      <c r="D88" s="1762">
        <f ca="1">IFERROR(Energia!$K$66*H3,0)</f>
        <v>0</v>
      </c>
      <c r="E88" s="1671">
        <f t="shared" ca="1" si="10"/>
        <v>0</v>
      </c>
      <c r="F88" s="1628" t="s">
        <v>2276</v>
      </c>
      <c r="G88" s="1628" t="s">
        <v>2257</v>
      </c>
      <c r="H88" s="1641">
        <f>IFERROR(VLOOKUP(Financeiros[[#This Row],[Tipo]],RefTabTipo[],2,FALSE),0)</f>
        <v>22</v>
      </c>
      <c r="I88" s="1635">
        <f>IFERROR(VLOOKUP(Financeiros[[#This Row],[Tipo]],RefTabTipo[],3,FALSE),0)</f>
        <v>60</v>
      </c>
      <c r="J88" s="1635">
        <f>IFERROR(VLOOKUP(Financeiros[[#This Row],[Tipo]],RefTabTipo[],4,FALSE),0)</f>
        <v>220</v>
      </c>
      <c r="K88" s="1641">
        <f>IFERROR(VLOOKUP(Financeiros[[#This Row],[Grupo Tarifário]],RefTabGrupoTarifa[],2,FALSE),0)</f>
        <v>2</v>
      </c>
      <c r="L88" s="1641">
        <f>IFERROR(VLOOKUP(Financeiros[[#This Row],[Grupo Tarifário]],RefTabGrupoTarifa[],3,FALSE),0)</f>
        <v>9</v>
      </c>
      <c r="M88" s="1641">
        <f>IFERROR(VLOOKUP(Financeiros[[#This Row],[Grupo Tarifário]],RefTabGrupoTarifa[],4,FALSE),0)</f>
        <v>9</v>
      </c>
    </row>
    <row r="89" spans="3:13" ht="16.5" hidden="1">
      <c r="C89" s="1670" t="s">
        <v>2298</v>
      </c>
      <c r="D89" s="1762">
        <f ca="1">IFERROR(Energia!$K$66*H4,0)</f>
        <v>0</v>
      </c>
      <c r="E89" s="1671">
        <f t="shared" ca="1" si="10"/>
        <v>0</v>
      </c>
      <c r="F89" s="1628" t="s">
        <v>2276</v>
      </c>
      <c r="G89" s="1628" t="s">
        <v>2260</v>
      </c>
      <c r="H89" s="1641">
        <f>IFERROR(VLOOKUP(Financeiros[[#This Row],[Tipo]],RefTabTipo[],2,FALSE),0)</f>
        <v>22</v>
      </c>
      <c r="I89" s="1635">
        <f>IFERROR(VLOOKUP(Financeiros[[#This Row],[Tipo]],RefTabTipo[],3,FALSE),0)</f>
        <v>60</v>
      </c>
      <c r="J89" s="1635">
        <f>IFERROR(VLOOKUP(Financeiros[[#This Row],[Tipo]],RefTabTipo[],4,FALSE),0)</f>
        <v>220</v>
      </c>
      <c r="K89" s="1641">
        <f>IFERROR(VLOOKUP(Financeiros[[#This Row],[Grupo Tarifário]],RefTabGrupoTarifa[],2,FALSE),0)</f>
        <v>2</v>
      </c>
      <c r="L89" s="1641">
        <f>IFERROR(VLOOKUP(Financeiros[[#This Row],[Grupo Tarifário]],RefTabGrupoTarifa[],3,FALSE),0)</f>
        <v>8</v>
      </c>
      <c r="M89" s="1641">
        <f>IFERROR(VLOOKUP(Financeiros[[#This Row],[Grupo Tarifário]],RefTabGrupoTarifa[],4,FALSE),0)</f>
        <v>9</v>
      </c>
    </row>
    <row r="90" spans="3:13" ht="16.5" hidden="1">
      <c r="C90" s="1670" t="s">
        <v>2299</v>
      </c>
      <c r="D90" s="1762">
        <f ca="1">IFERROR(Energia!$K$66*H5,0)</f>
        <v>0</v>
      </c>
      <c r="E90" s="1671">
        <f t="shared" ca="1" si="10"/>
        <v>0</v>
      </c>
      <c r="F90" s="1628" t="s">
        <v>2276</v>
      </c>
      <c r="G90" s="1628" t="s">
        <v>2258</v>
      </c>
      <c r="H90" s="1641">
        <f>IFERROR(VLOOKUP(Financeiros[[#This Row],[Tipo]],RefTabTipo[],2,FALSE),0)</f>
        <v>22</v>
      </c>
      <c r="I90" s="1635">
        <f>IFERROR(VLOOKUP(Financeiros[[#This Row],[Tipo]],RefTabTipo[],3,FALSE),0)</f>
        <v>60</v>
      </c>
      <c r="J90" s="1635">
        <f>IFERROR(VLOOKUP(Financeiros[[#This Row],[Tipo]],RefTabTipo[],4,FALSE),0)</f>
        <v>220</v>
      </c>
      <c r="K90" s="1641">
        <f>IFERROR(VLOOKUP(Financeiros[[#This Row],[Grupo Tarifário]],RefTabGrupoTarifa[],2,FALSE),0)</f>
        <v>2</v>
      </c>
      <c r="L90" s="1641">
        <f>IFERROR(VLOOKUP(Financeiros[[#This Row],[Grupo Tarifário]],RefTabGrupoTarifa[],3,FALSE),0)</f>
        <v>10</v>
      </c>
      <c r="M90" s="1641">
        <f>IFERROR(VLOOKUP(Financeiros[[#This Row],[Grupo Tarifário]],RefTabGrupoTarifa[],4,FALSE),0)</f>
        <v>9</v>
      </c>
    </row>
    <row r="91" spans="3:13" ht="16.5" hidden="1">
      <c r="C91" s="1670" t="s">
        <v>2300</v>
      </c>
      <c r="D91" s="1762">
        <f ca="1">IFERROR(Energia!$K$66*H6,0)</f>
        <v>0</v>
      </c>
      <c r="E91" s="1671">
        <f t="shared" ca="1" si="10"/>
        <v>0</v>
      </c>
      <c r="F91" s="1628" t="s">
        <v>2276</v>
      </c>
      <c r="G91" s="1628" t="s">
        <v>2259</v>
      </c>
      <c r="H91" s="1641">
        <f>IFERROR(VLOOKUP(Financeiros[[#This Row],[Tipo]],RefTabTipo[],2,FALSE),0)</f>
        <v>22</v>
      </c>
      <c r="I91" s="1635">
        <f>IFERROR(VLOOKUP(Financeiros[[#This Row],[Tipo]],RefTabTipo[],3,FALSE),0)</f>
        <v>60</v>
      </c>
      <c r="J91" s="1635">
        <f>IFERROR(VLOOKUP(Financeiros[[#This Row],[Tipo]],RefTabTipo[],4,FALSE),0)</f>
        <v>220</v>
      </c>
      <c r="K91" s="1641">
        <f>IFERROR(VLOOKUP(Financeiros[[#This Row],[Grupo Tarifário]],RefTabGrupoTarifa[],2,FALSE),0)</f>
        <v>2</v>
      </c>
      <c r="L91" s="1641">
        <f>IFERROR(VLOOKUP(Financeiros[[#This Row],[Grupo Tarifário]],RefTabGrupoTarifa[],3,FALSE),0)</f>
        <v>24</v>
      </c>
      <c r="M91" s="1641">
        <f>IFERROR(VLOOKUP(Financeiros[[#This Row],[Grupo Tarifário]],RefTabGrupoTarifa[],4,FALSE),0)</f>
        <v>9</v>
      </c>
    </row>
    <row r="92" spans="3:13" ht="16.5" hidden="1">
      <c r="C92" s="1617" t="s">
        <v>2423</v>
      </c>
      <c r="D92" s="1653"/>
      <c r="E92" s="1619">
        <f t="shared" ref="E92:E93" ca="1" si="11">IF(ISERROR(D92/$D$4),0,D92/$D$4)</f>
        <v>0</v>
      </c>
      <c r="F92" s="1664"/>
      <c r="G92" s="1664"/>
      <c r="H92" s="1666">
        <f>IFERROR(VLOOKUP(Financeiros[[#This Row],[Tipo]],RefTabTipo[],2,FALSE),0)</f>
        <v>0</v>
      </c>
      <c r="I92" s="1630">
        <f>IFERROR(VLOOKUP(Financeiros[[#This Row],[Tipo]],RefTabTipo[],3,FALSE),0)</f>
        <v>0</v>
      </c>
      <c r="J92" s="1630">
        <f>IFERROR(VLOOKUP(Financeiros[[#This Row],[Tipo]],RefTabTipo[],4,FALSE),0)</f>
        <v>0</v>
      </c>
      <c r="K92" s="1666">
        <f>IFERROR(VLOOKUP(Financeiros[[#This Row],[Grupo Tarifário]],RefTabGrupoTarifa[],2,FALSE),0)</f>
        <v>0</v>
      </c>
      <c r="L92" s="1666">
        <f>IFERROR(VLOOKUP(Financeiros[[#This Row],[Grupo Tarifário]],RefTabGrupoTarifa[],3,FALSE),0)</f>
        <v>0</v>
      </c>
      <c r="M92" s="1666">
        <f>IFERROR(VLOOKUP(Financeiros[[#This Row],[Grupo Tarifário]],RefTabGrupoTarifa[],4,FALSE),0)</f>
        <v>0</v>
      </c>
    </row>
    <row r="93" spans="3:13" ht="16.5" hidden="1">
      <c r="C93" s="1617" t="s">
        <v>2424</v>
      </c>
      <c r="D93" s="1653"/>
      <c r="E93" s="1619">
        <f t="shared" ca="1" si="11"/>
        <v>0</v>
      </c>
      <c r="F93" s="1664"/>
      <c r="G93" s="1664"/>
      <c r="H93" s="1666">
        <f>IFERROR(VLOOKUP(Financeiros[[#This Row],[Tipo]],RefTabTipo[],2,FALSE),0)</f>
        <v>0</v>
      </c>
      <c r="I93" s="1630">
        <f>IFERROR(VLOOKUP(Financeiros[[#This Row],[Tipo]],RefTabTipo[],3,FALSE),0)</f>
        <v>0</v>
      </c>
      <c r="J93" s="1630">
        <f>IFERROR(VLOOKUP(Financeiros[[#This Row],[Tipo]],RefTabTipo[],4,FALSE),0)</f>
        <v>0</v>
      </c>
      <c r="K93" s="1666">
        <f>IFERROR(VLOOKUP(Financeiros[[#This Row],[Grupo Tarifário]],RefTabGrupoTarifa[],2,FALSE),0)</f>
        <v>0</v>
      </c>
      <c r="L93" s="1666">
        <f>IFERROR(VLOOKUP(Financeiros[[#This Row],[Grupo Tarifário]],RefTabGrupoTarifa[],3,FALSE),0)</f>
        <v>0</v>
      </c>
      <c r="M93" s="1666">
        <f>IFERROR(VLOOKUP(Financeiros[[#This Row],[Grupo Tarifário]],RefTabGrupoTarifa[],4,FALSE),0)</f>
        <v>0</v>
      </c>
    </row>
    <row r="94" spans="3:13" ht="16.5" hidden="1">
      <c r="C94" s="1673" t="s">
        <v>2425</v>
      </c>
      <c r="D94" s="1674"/>
      <c r="E94" s="1619">
        <f t="shared" ref="E94:E96" ca="1" si="12">IF(ISERROR(D94/$D$4),0,D94/$D$4)</f>
        <v>0</v>
      </c>
      <c r="F94" s="1664"/>
      <c r="G94" s="1675"/>
      <c r="H94" s="1666">
        <f>IFERROR(VLOOKUP(Financeiros[[#This Row],[Tipo]],RefTabTipo[],2,FALSE),0)</f>
        <v>0</v>
      </c>
      <c r="I94" s="1630">
        <f>IFERROR(VLOOKUP(Financeiros[[#This Row],[Tipo]],RefTabTipo[],3,FALSE),0)</f>
        <v>0</v>
      </c>
      <c r="J94" s="1630">
        <f>IFERROR(VLOOKUP(Financeiros[[#This Row],[Tipo]],RefTabTipo[],4,FALSE),0)</f>
        <v>0</v>
      </c>
      <c r="K94" s="1666">
        <f>IFERROR(VLOOKUP(Financeiros[[#This Row],[Grupo Tarifário]],RefTabGrupoTarifa[],2,FALSE),0)</f>
        <v>0</v>
      </c>
      <c r="L94" s="1666">
        <f>IFERROR(VLOOKUP(Financeiros[[#This Row],[Grupo Tarifário]],RefTabGrupoTarifa[],3,FALSE),0)</f>
        <v>0</v>
      </c>
      <c r="M94" s="1666">
        <f>IFERROR(VLOOKUP(Financeiros[[#This Row],[Grupo Tarifário]],RefTabGrupoTarifa[],4,FALSE),0)</f>
        <v>0</v>
      </c>
    </row>
    <row r="95" spans="3:13" ht="16.5" hidden="1">
      <c r="C95" s="1617" t="s">
        <v>2426</v>
      </c>
      <c r="D95" s="1653"/>
      <c r="E95" s="1619">
        <f t="shared" ca="1" si="12"/>
        <v>0</v>
      </c>
      <c r="F95" s="1664"/>
      <c r="G95" s="1664"/>
      <c r="H95" s="1666">
        <f>IFERROR(VLOOKUP(Financeiros[[#This Row],[Tipo]],RefTabTipo[],2,FALSE),0)</f>
        <v>0</v>
      </c>
      <c r="I95" s="1630">
        <f>IFERROR(VLOOKUP(Financeiros[[#This Row],[Tipo]],RefTabTipo[],3,FALSE),0)</f>
        <v>0</v>
      </c>
      <c r="J95" s="1630">
        <f>IFERROR(VLOOKUP(Financeiros[[#This Row],[Tipo]],RefTabTipo[],4,FALSE),0)</f>
        <v>0</v>
      </c>
      <c r="K95" s="1666">
        <f>IFERROR(VLOOKUP(Financeiros[[#This Row],[Grupo Tarifário]],RefTabGrupoTarifa[],2,FALSE),0)</f>
        <v>0</v>
      </c>
      <c r="L95" s="1666">
        <f>IFERROR(VLOOKUP(Financeiros[[#This Row],[Grupo Tarifário]],RefTabGrupoTarifa[],3,FALSE),0)</f>
        <v>0</v>
      </c>
      <c r="M95" s="1666">
        <f>IFERROR(VLOOKUP(Financeiros[[#This Row],[Grupo Tarifário]],RefTabGrupoTarifa[],4,FALSE),0)</f>
        <v>0</v>
      </c>
    </row>
    <row r="96" spans="3:13" ht="16.5" hidden="1">
      <c r="C96" s="1617" t="s">
        <v>2427</v>
      </c>
      <c r="D96" s="1653"/>
      <c r="E96" s="1619">
        <f t="shared" ca="1" si="12"/>
        <v>0</v>
      </c>
      <c r="F96" s="1664"/>
      <c r="G96" s="1664"/>
      <c r="H96" s="1666">
        <f>IFERROR(VLOOKUP(Financeiros[[#This Row],[Tipo]],RefTabTipo[],2,FALSE),0)</f>
        <v>0</v>
      </c>
      <c r="I96" s="1630">
        <f>IFERROR(VLOOKUP(Financeiros[[#This Row],[Tipo]],RefTabTipo[],3,FALSE),0)</f>
        <v>0</v>
      </c>
      <c r="J96" s="1630">
        <f>IFERROR(VLOOKUP(Financeiros[[#This Row],[Tipo]],RefTabTipo[],4,FALSE),0)</f>
        <v>0</v>
      </c>
      <c r="K96" s="1666">
        <f>IFERROR(VLOOKUP(Financeiros[[#This Row],[Grupo Tarifário]],RefTabGrupoTarifa[],2,FALSE),0)</f>
        <v>0</v>
      </c>
      <c r="L96" s="1666">
        <f>IFERROR(VLOOKUP(Financeiros[[#This Row],[Grupo Tarifário]],RefTabGrupoTarifa[],3,FALSE),0)</f>
        <v>0</v>
      </c>
      <c r="M96" s="1666">
        <f>IFERROR(VLOOKUP(Financeiros[[#This Row],[Grupo Tarifário]],RefTabGrupoTarifa[],4,FALSE),0)</f>
        <v>0</v>
      </c>
    </row>
    <row r="97" spans="3:13" ht="16.5">
      <c r="C97" s="1617" t="s">
        <v>2430</v>
      </c>
      <c r="D97" s="1776">
        <v>-402000</v>
      </c>
      <c r="E97" s="1619">
        <f t="shared" ref="E97:E98" ca="1" si="13">IF(ISERROR(D97/$D$4),0,D97/$D$4)</f>
        <v>-1.4538218723335017E-2</v>
      </c>
      <c r="F97" s="1664" t="s">
        <v>2235</v>
      </c>
      <c r="G97" s="1664" t="s">
        <v>2267</v>
      </c>
      <c r="H97" s="1666">
        <f>IFERROR(VLOOKUP(Financeiros[[#This Row],[Tipo]],RefTabTipo[],2,FALSE),0)</f>
        <v>22</v>
      </c>
      <c r="I97" s="1630">
        <f>IFERROR(VLOOKUP(Financeiros[[#This Row],[Tipo]],RefTabTipo[],3,FALSE),0)</f>
        <v>60</v>
      </c>
      <c r="J97" s="1630">
        <f>IFERROR(VLOOKUP(Financeiros[[#This Row],[Tipo]],RefTabTipo[],4,FALSE),0)</f>
        <v>999</v>
      </c>
      <c r="K97" s="1666">
        <f>IFERROR(VLOOKUP(Financeiros[[#This Row],[Grupo Tarifário]],RefTabGrupoTarifa[],2,FALSE),0)</f>
        <v>1</v>
      </c>
      <c r="L97" s="1666">
        <f>IFERROR(VLOOKUP(Financeiros[[#This Row],[Grupo Tarifário]],RefTabGrupoTarifa[],3,FALSE),0)</f>
        <v>7</v>
      </c>
      <c r="M97" s="1666">
        <f>IFERROR(VLOOKUP(Financeiros[[#This Row],[Grupo Tarifário]],RefTabGrupoTarifa[],4,FALSE),0)</f>
        <v>9</v>
      </c>
    </row>
    <row r="98" spans="3:13" ht="16.5" hidden="1">
      <c r="C98" s="1617"/>
      <c r="D98" s="1653"/>
      <c r="E98" s="1619">
        <f t="shared" ca="1" si="13"/>
        <v>0</v>
      </c>
      <c r="F98" s="1664"/>
      <c r="G98" s="1664"/>
      <c r="H98" s="1666">
        <f>IFERROR(VLOOKUP(Financeiros[[#This Row],[Tipo]],RefTabTipo[],2,FALSE),0)</f>
        <v>0</v>
      </c>
      <c r="I98" s="1630">
        <f>IFERROR(VLOOKUP(Financeiros[[#This Row],[Tipo]],RefTabTipo[],3,FALSE),0)</f>
        <v>0</v>
      </c>
      <c r="J98" s="1630">
        <f>IFERROR(VLOOKUP(Financeiros[[#This Row],[Tipo]],RefTabTipo[],4,FALSE),0)</f>
        <v>0</v>
      </c>
      <c r="K98" s="1666">
        <f>IFERROR(VLOOKUP(Financeiros[[#This Row],[Grupo Tarifário]],RefTabGrupoTarifa[],2,FALSE),0)</f>
        <v>0</v>
      </c>
      <c r="L98" s="1666">
        <f>IFERROR(VLOOKUP(Financeiros[[#This Row],[Grupo Tarifário]],RefTabGrupoTarifa[],3,FALSE),0)</f>
        <v>0</v>
      </c>
      <c r="M98" s="1666">
        <f>IFERROR(VLOOKUP(Financeiros[[#This Row],[Grupo Tarifário]],RefTabGrupoTarifa[],4,FALSE),0)</f>
        <v>0</v>
      </c>
    </row>
    <row r="99" spans="3:13" ht="16.5" hidden="1">
      <c r="C99" s="1617"/>
      <c r="D99" s="1653"/>
      <c r="E99" s="1619">
        <f t="shared" ref="E99:E100" ca="1" si="14">IF(ISERROR(D99/$D$4),0,D99/$D$4)</f>
        <v>0</v>
      </c>
      <c r="F99" s="1664"/>
      <c r="G99" s="1664"/>
      <c r="H99" s="1666">
        <f>IFERROR(VLOOKUP(Financeiros[[#This Row],[Tipo]],RefTabTipo[],2,FALSE),0)</f>
        <v>0</v>
      </c>
      <c r="I99" s="1630">
        <f>IFERROR(VLOOKUP(Financeiros[[#This Row],[Tipo]],RefTabTipo[],3,FALSE),0)</f>
        <v>0</v>
      </c>
      <c r="J99" s="1630">
        <f>IFERROR(VLOOKUP(Financeiros[[#This Row],[Tipo]],RefTabTipo[],4,FALSE),0)</f>
        <v>0</v>
      </c>
      <c r="K99" s="1666">
        <f>IFERROR(VLOOKUP(Financeiros[[#This Row],[Grupo Tarifário]],RefTabGrupoTarifa[],2,FALSE),0)</f>
        <v>0</v>
      </c>
      <c r="L99" s="1666">
        <f>IFERROR(VLOOKUP(Financeiros[[#This Row],[Grupo Tarifário]],RefTabGrupoTarifa[],3,FALSE),0)</f>
        <v>0</v>
      </c>
      <c r="M99" s="1666">
        <f>IFERROR(VLOOKUP(Financeiros[[#This Row],[Grupo Tarifário]],RefTabGrupoTarifa[],4,FALSE),0)</f>
        <v>0</v>
      </c>
    </row>
    <row r="100" spans="3:13" ht="16.5" hidden="1">
      <c r="C100" s="1617"/>
      <c r="D100" s="1653"/>
      <c r="E100" s="1619">
        <f t="shared" ca="1" si="14"/>
        <v>0</v>
      </c>
      <c r="F100" s="1664"/>
      <c r="G100" s="1664"/>
      <c r="H100" s="1666">
        <f>IFERROR(VLOOKUP(Financeiros[[#This Row],[Tipo]],RefTabTipo[],2,FALSE),0)</f>
        <v>0</v>
      </c>
      <c r="I100" s="1630">
        <f>IFERROR(VLOOKUP(Financeiros[[#This Row],[Tipo]],RefTabTipo[],3,FALSE),0)</f>
        <v>0</v>
      </c>
      <c r="J100" s="1630">
        <f>IFERROR(VLOOKUP(Financeiros[[#This Row],[Tipo]],RefTabTipo[],4,FALSE),0)</f>
        <v>0</v>
      </c>
      <c r="K100" s="1666">
        <f>IFERROR(VLOOKUP(Financeiros[[#This Row],[Grupo Tarifário]],RefTabGrupoTarifa[],2,FALSE),0)</f>
        <v>0</v>
      </c>
      <c r="L100" s="1666">
        <f>IFERROR(VLOOKUP(Financeiros[[#This Row],[Grupo Tarifário]],RefTabGrupoTarifa[],3,FALSE),0)</f>
        <v>0</v>
      </c>
      <c r="M100" s="1666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D9:D14 E10 E9 E11:E23 D15:D23 D24:D26 E24:E43 D29:D39 E76:E91 D77:D81 D82:D91 D66:E75 D76 D49:E65 E44:E48 D42 E92:E100 D40:D41 D47:D48 D97" calculatedColumn="1"/>
  </ignoredErrors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0" t="s">
        <v>2282</v>
      </c>
      <c r="B1" s="1225"/>
      <c r="C1" s="1225"/>
      <c r="D1" s="1225"/>
      <c r="E1" s="931"/>
      <c r="F1" s="931"/>
      <c r="G1" s="1128" t="s">
        <v>871</v>
      </c>
      <c r="H1" s="1129">
        <f ca="1">LnkTXTIRTEco</f>
        <v>7.1900000000000006E-2</v>
      </c>
    </row>
    <row r="2" spans="1:8" ht="16.5">
      <c r="A2" s="136" t="str">
        <f>CAPA!C9</f>
        <v>Certrel</v>
      </c>
      <c r="B2" s="70"/>
      <c r="C2" s="70"/>
      <c r="D2" s="70"/>
      <c r="E2" s="70"/>
      <c r="F2" s="70"/>
      <c r="G2" s="120" t="s">
        <v>875</v>
      </c>
      <c r="H2" s="121">
        <f ca="1">LnkTXTIRTTotal</f>
        <v>-3.0800000000000001E-2</v>
      </c>
    </row>
    <row r="7" spans="1:8">
      <c r="A7" s="1840" t="s">
        <v>2042</v>
      </c>
      <c r="B7" s="1840"/>
      <c r="C7" s="1840"/>
      <c r="D7" s="1840"/>
      <c r="E7" s="1840"/>
      <c r="F7" s="1840"/>
      <c r="G7" s="1840"/>
      <c r="H7" s="1840"/>
    </row>
    <row r="9" spans="1:8">
      <c r="A9" s="9" t="s">
        <v>2281</v>
      </c>
    </row>
    <row r="12" spans="1:8">
      <c r="A12" s="687" t="s">
        <v>192</v>
      </c>
      <c r="B12" s="296" t="s">
        <v>2037</v>
      </c>
    </row>
    <row r="13" spans="1:8">
      <c r="A13" s="687" t="s">
        <v>950</v>
      </c>
      <c r="B13" s="1722"/>
    </row>
    <row r="14" spans="1:8">
      <c r="A14" s="687" t="s">
        <v>969</v>
      </c>
      <c r="B14" s="1722"/>
    </row>
    <row r="16" spans="1:8">
      <c r="A16" s="296" t="s">
        <v>192</v>
      </c>
      <c r="B16" s="296" t="s">
        <v>2043</v>
      </c>
      <c r="C16" s="296" t="s">
        <v>2038</v>
      </c>
      <c r="D16" s="296" t="s">
        <v>2039</v>
      </c>
      <c r="E16" s="296" t="s">
        <v>767</v>
      </c>
    </row>
    <row r="17" spans="1:8">
      <c r="A17" s="687" t="s">
        <v>767</v>
      </c>
      <c r="B17" s="1723">
        <f>B18+B19</f>
        <v>0</v>
      </c>
      <c r="C17" s="1723">
        <f>Indexador!R49</f>
        <v>0</v>
      </c>
      <c r="D17" s="1723">
        <f>C17*85%</f>
        <v>0</v>
      </c>
      <c r="E17" s="1723">
        <f>SUM(B17:D17)</f>
        <v>0</v>
      </c>
    </row>
    <row r="18" spans="1:8">
      <c r="A18" s="687" t="s">
        <v>950</v>
      </c>
      <c r="B18" s="1723">
        <f>Indexador!V49</f>
        <v>0</v>
      </c>
      <c r="C18" s="1723">
        <f>IFERROR($C$17*C41,0)</f>
        <v>0</v>
      </c>
      <c r="D18" s="1723">
        <f t="shared" ref="D18:D19" si="0">C18*85%</f>
        <v>0</v>
      </c>
      <c r="E18" s="1723">
        <f t="shared" ref="E18:E19" si="1">SUM(B18:D18)</f>
        <v>0</v>
      </c>
    </row>
    <row r="19" spans="1:8">
      <c r="A19" s="687" t="s">
        <v>969</v>
      </c>
      <c r="B19" s="1723">
        <f>Indexador!T49</f>
        <v>0</v>
      </c>
      <c r="C19" s="1723">
        <f>IFERROR($C$17*D41,0)</f>
        <v>0</v>
      </c>
      <c r="D19" s="1723">
        <f t="shared" si="0"/>
        <v>0</v>
      </c>
      <c r="E19" s="1723">
        <f t="shared" si="1"/>
        <v>0</v>
      </c>
    </row>
    <row r="24" spans="1:8">
      <c r="A24" s="1840" t="s">
        <v>2196</v>
      </c>
      <c r="B24" s="1840"/>
      <c r="C24" s="1840"/>
      <c r="D24" s="1840"/>
      <c r="E24" s="1840"/>
      <c r="F24" s="1840"/>
      <c r="G24" s="1840"/>
      <c r="H24" s="1840"/>
    </row>
    <row r="26" spans="1:8">
      <c r="E26" s="232"/>
      <c r="F26" s="232"/>
      <c r="G26" s="232"/>
      <c r="H26" s="232"/>
    </row>
    <row r="27" spans="1:8">
      <c r="B27" s="296" t="s">
        <v>2197</v>
      </c>
      <c r="C27" s="296" t="s">
        <v>2195</v>
      </c>
      <c r="D27" s="296" t="s">
        <v>2193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383343.39332999999</v>
      </c>
      <c r="D28" s="232">
        <f>SUMIF(FaturasT!$I:$I,'Tributos suprimento'!$B28,FaturasT!AB:AB)</f>
        <v>222026.47086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376056.78158000001</v>
      </c>
      <c r="D29" s="232">
        <f>SUMIF(FaturasT!$I:$I,'Tributos suprimento'!$B29,FaturasT!AB:AB)</f>
        <v>217780.10136000003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368118.07395999995</v>
      </c>
      <c r="D30" s="232">
        <f>IF(SUMIF(FaturasT!$I:$I,'Tributos suprimento'!$B30,FaturasT!AB:AB)=0,D29,SUMIF(FaturasT!$I:$I,'Tributos suprimento'!$B30,FaturasT!AB:AB))</f>
        <v>495800.22450000001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373449.23090999998</v>
      </c>
      <c r="D31" s="232">
        <f>IF(SUMIF(FaturasT!$I:$I,'Tributos suprimento'!$B31,FaturasT!AB:AB)=0,D30,SUMIF(FaturasT!$I:$I,'Tributos suprimento'!$B31,FaturasT!AB:AB))</f>
        <v>497171.22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361804.64050999994</v>
      </c>
      <c r="D32" s="232">
        <f>IF(SUMIF(FaturasT!$I:$I,'Tributos suprimento'!$B32,FaturasT!AB:AB)=0,D31,SUMIF(FaturasT!$I:$I,'Tributos suprimento'!$B32,FaturasT!AB:AB))</f>
        <v>458358.06449999998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376140.13130000001</v>
      </c>
      <c r="D33" s="232">
        <f>IF(SUMIF(FaturasT!$I:$I,'Tributos suprimento'!$B33,FaturasT!AB:AB)=0,D32,SUMIF(FaturasT!$I:$I,'Tributos suprimento'!$B33,FaturasT!AB:AB))</f>
        <v>503041.96424999996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363806.06941999996</v>
      </c>
      <c r="D34" s="232">
        <f>IF(SUMIF(FaturasT!$I:$I,'Tributos suprimento'!$B34,FaturasT!AB:AB)=0,D33,SUMIF(FaturasT!$I:$I,'Tributos suprimento'!$B34,FaturasT!AB:AB))</f>
        <v>465740.84025000001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375269.38084999996</v>
      </c>
      <c r="D35" s="232">
        <f>IF(SUMIF(FaturasT!$I:$I,'Tributos suprimento'!$B35,FaturasT!AB:AB)=0,D34,SUMIF(FaturasT!$I:$I,'Tributos suprimento'!$B35,FaturasT!AB:AB))</f>
        <v>541334.20425000007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360632.55142000003</v>
      </c>
      <c r="D36" s="232">
        <f>IF(SUMIF(FaturasT!$I:$I,'Tributos suprimento'!$B36,FaturasT!AB:AB)=0,D35,SUMIF(FaturasT!$I:$I,'Tributos suprimento'!$B36,FaturasT!AB:AB))</f>
        <v>477752.08425000001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374440.43656000006</v>
      </c>
      <c r="D37" s="232">
        <f>IF(SUMIF(FaturasT!$I:$I,'Tributos suprimento'!$B37,FaturasT!AB:AB)=0,D36,SUMIF(FaturasT!$I:$I,'Tributos suprimento'!$B37,FaturasT!AB:AB))</f>
        <v>505799.41125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367483.17921999999</v>
      </c>
      <c r="D38" s="232">
        <f>IF(SUMIF(FaturasT!$I:$I,'Tributos suprimento'!$B38,FaturasT!AB:AB)=0,D37,SUMIF(FaturasT!$I:$I,'Tributos suprimento'!$B38,FaturasT!AB:AB))</f>
        <v>502812.17699999997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363190.31578999996</v>
      </c>
      <c r="D39" s="232">
        <f>IF(SUMIF(FaturasT!$I:$I,'Tributos suprimento'!$B39,FaturasT!AB:AB)=0,D38,SUMIF(FaturasT!$I:$I,'Tributos suprimento'!$B39,FaturasT!AB:AB))</f>
        <v>475014.56099999999</v>
      </c>
    </row>
    <row r="40" spans="2:8">
      <c r="B40" s="17" t="s">
        <v>767</v>
      </c>
      <c r="C40" s="750">
        <f>SUM(C28:C39)</f>
        <v>4443734.1848499998</v>
      </c>
      <c r="D40" s="750">
        <f>SUM(D28:D39)</f>
        <v>5362631.3234700002</v>
      </c>
    </row>
    <row r="41" spans="2:8">
      <c r="B41" s="1720" t="s">
        <v>2194</v>
      </c>
      <c r="C41" s="1721">
        <f>C40/($C$40+$D$40)</f>
        <v>0.45314792530217329</v>
      </c>
      <c r="D41" s="1721">
        <f>D40/($C$40+$D$40)</f>
        <v>0.54685207469782671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18" customWidth="1"/>
    <col min="2" max="2" width="11.42578125" style="1518" bestFit="1" customWidth="1"/>
    <col min="3" max="3" width="19.28515625" style="1518" customWidth="1"/>
    <col min="4" max="4" width="17.7109375" style="1518" customWidth="1"/>
    <col min="5" max="5" width="13.7109375" style="1518" customWidth="1"/>
    <col min="6" max="8" width="14.7109375" style="1518" customWidth="1"/>
    <col min="9" max="9" width="16.42578125" style="1518" customWidth="1"/>
    <col min="10" max="10" width="19.5703125" style="1518" customWidth="1"/>
    <col min="11" max="18" width="15.7109375" style="1518" customWidth="1"/>
    <col min="19" max="40" width="9" style="1518" customWidth="1"/>
    <col min="41" max="16384" width="9.140625" style="1518"/>
  </cols>
  <sheetData>
    <row r="1" spans="2:24" ht="14.1" customHeight="1"/>
    <row r="2" spans="2:24" ht="14.1" customHeight="1"/>
    <row r="3" spans="2:24" ht="42" customHeight="1">
      <c r="B3" s="1519" t="s">
        <v>2132</v>
      </c>
      <c r="C3" s="1520"/>
      <c r="D3" s="1521" t="s">
        <v>2133</v>
      </c>
      <c r="E3" s="1522" t="s">
        <v>2134</v>
      </c>
      <c r="F3" s="1520"/>
      <c r="G3" s="1521" t="s">
        <v>2135</v>
      </c>
      <c r="H3" s="1521" t="s">
        <v>2136</v>
      </c>
      <c r="I3" s="1521" t="s">
        <v>2137</v>
      </c>
      <c r="J3" s="1521" t="s">
        <v>2138</v>
      </c>
      <c r="K3" s="1521" t="s">
        <v>2139</v>
      </c>
      <c r="L3" s="1521" t="s">
        <v>2140</v>
      </c>
      <c r="M3" s="1521" t="s">
        <v>2141</v>
      </c>
      <c r="N3" s="1521" t="s">
        <v>2142</v>
      </c>
      <c r="O3" s="1521" t="s">
        <v>2143</v>
      </c>
      <c r="P3" s="1521" t="s">
        <v>2144</v>
      </c>
      <c r="Q3" s="1521" t="s">
        <v>2145</v>
      </c>
      <c r="R3" s="1523" t="s">
        <v>2146</v>
      </c>
    </row>
    <row r="4" spans="2:24" ht="14.1" customHeight="1">
      <c r="B4" s="1524" t="s">
        <v>2147</v>
      </c>
      <c r="C4" s="1524"/>
      <c r="D4" s="1524"/>
      <c r="E4" s="1525" t="s">
        <v>114</v>
      </c>
      <c r="F4" s="1526"/>
      <c r="G4" s="1524">
        <v>0</v>
      </c>
      <c r="H4" s="1527">
        <f>D4+G4</f>
        <v>0</v>
      </c>
      <c r="I4" s="1528">
        <f>+D6</f>
        <v>0</v>
      </c>
      <c r="J4" s="1528">
        <f>+F27</f>
        <v>0</v>
      </c>
      <c r="K4" s="1529"/>
      <c r="L4" s="1530">
        <f>K4*VLOOKUP(SAS_RA0_DataFim,Índices!$B$6:$F$50000,5,0)/VLOOKUP(DATE(YEAR(SAS_RA0_DataFim)-2,MONTH(CAPA!C15),1),Índices!$B$6:$F$50000,5,0)</f>
        <v>0</v>
      </c>
      <c r="M4" s="1524"/>
      <c r="N4" s="1528">
        <f>M4*VLOOKUP(SAS_RA0_DataFim,Índices!$B$6:$F$50000,5,0)/VLOOKUP(DATE(YEAR(SAS_RA0_DataFim)-1,MONTH(SAS_RA0_DataFim),1),Índices!$B$6:$F$50000,5,0)</f>
        <v>0</v>
      </c>
      <c r="O4" s="1528">
        <f>G27</f>
        <v>0</v>
      </c>
      <c r="P4" s="1528">
        <f>J4+L4+N4-O4</f>
        <v>0</v>
      </c>
      <c r="Q4" s="1528">
        <f>IF(I4*12&gt;(D4+K4+M4-P4),D4+K4+M4-P4,I4*12)</f>
        <v>0</v>
      </c>
      <c r="R4" s="1531">
        <f>P4+Q4</f>
        <v>0</v>
      </c>
    </row>
    <row r="5" spans="2:24" ht="14.1" customHeight="1"/>
    <row r="6" spans="2:24" ht="14.1" customHeight="1">
      <c r="B6" s="1532" t="s">
        <v>2148</v>
      </c>
      <c r="C6" s="1533"/>
      <c r="D6" s="1534"/>
      <c r="N6" s="1535"/>
    </row>
    <row r="7" spans="2:24" ht="14.1" customHeight="1"/>
    <row r="8" spans="2:24" ht="42" customHeight="1">
      <c r="B8" s="1519" t="s">
        <v>34</v>
      </c>
      <c r="C8" s="1521" t="s">
        <v>2149</v>
      </c>
      <c r="D8" s="1521" t="s">
        <v>2150</v>
      </c>
      <c r="E8" s="1521" t="s">
        <v>2151</v>
      </c>
      <c r="F8" s="1521" t="s">
        <v>2152</v>
      </c>
      <c r="G8" s="1521" t="s">
        <v>2153</v>
      </c>
      <c r="H8" s="1521" t="s">
        <v>2154</v>
      </c>
    </row>
    <row r="9" spans="2:24" ht="14.1" customHeight="1">
      <c r="B9" s="1536">
        <v>44197</v>
      </c>
      <c r="C9" s="1537"/>
      <c r="D9" s="1538"/>
      <c r="E9" s="1539"/>
      <c r="F9" s="1540">
        <f>C9*VLOOKUP(SAS_RA0_DataFim,Índices!$B$6:$F$50000,5,0)/VLOOKUP(DATE(YEAR($B9),MONTH($B9)-1,1),Índices!$B$6:$F$50000,5,0)</f>
        <v>0</v>
      </c>
      <c r="G9" s="1540">
        <f>D9*VLOOKUP(SAS_RA0_DataFim,Índices!$B$6:$F$50000,5,0)/VLOOKUP(DATE(YEAR($B9),MONTH($B9)-1,1),Índices!$B$6:$F$50000,5,0)</f>
        <v>0</v>
      </c>
      <c r="H9" s="1540">
        <f>E9*VLOOKUP(SAS_RA0_DataFim,Índices!$B$6:$F$50000,5,0)/VLOOKUP(DATE(YEAR($B9),MONTH($B9)-1,1),Índices!$B$6:$F$50000,5,0)</f>
        <v>0</v>
      </c>
    </row>
    <row r="10" spans="2:24" ht="14.1" customHeight="1">
      <c r="B10" s="1536">
        <v>44228</v>
      </c>
      <c r="C10" s="1541"/>
      <c r="D10" s="1538"/>
      <c r="E10" s="1542"/>
      <c r="F10" s="1543">
        <f>C10*VLOOKUP(SAS_RA0_DataFim,Índices!$B$6:$F$50000,5,0)/VLOOKUP(DATE(YEAR($B10),MONTH($B10)-1,1),Índices!$B$6:$F$50000,5,0)</f>
        <v>0</v>
      </c>
      <c r="G10" s="1543">
        <f>D10*VLOOKUP(SAS_RA0_DataFim,Índices!$B$6:$F$50000,5,0)/VLOOKUP(DATE(YEAR($B10),MONTH($B10)-1,1),Índices!$B$6:$F$50000,5,0)</f>
        <v>0</v>
      </c>
      <c r="H10" s="1543">
        <f>E10*VLOOKUP(SAS_RA0_DataFim,Índices!$B$6:$F$50000,5,0)/VLOOKUP(DATE(YEAR($B10),MONTH($B10)-1,1),Índices!$B$6:$F$50000,5,0)</f>
        <v>0</v>
      </c>
      <c r="X10" s="1544"/>
    </row>
    <row r="11" spans="2:24" ht="14.1" customHeight="1">
      <c r="B11" s="1536">
        <v>44256</v>
      </c>
      <c r="C11" s="1541"/>
      <c r="D11" s="1538"/>
      <c r="E11" s="1542"/>
      <c r="F11" s="1543">
        <f>C11*VLOOKUP(SAS_RA0_DataFim,Índices!$B$6:$F$50000,5,0)/VLOOKUP(DATE(YEAR($B11),MONTH($B11)-1,1),Índices!$B$6:$F$50000,5,0)</f>
        <v>0</v>
      </c>
      <c r="G11" s="1543">
        <f>D11*VLOOKUP(SAS_RA0_DataFim,Índices!$B$6:$F$50000,5,0)/VLOOKUP(DATE(YEAR($B11),MONTH($B11)-1,1),Índices!$B$6:$F$50000,5,0)</f>
        <v>0</v>
      </c>
      <c r="H11" s="1543">
        <f>E11*VLOOKUP(SAS_RA0_DataFim,Índices!$B$6:$F$50000,5,0)/VLOOKUP(DATE(YEAR($B11),MONTH($B11)-1,1),Índices!$B$6:$F$50000,5,0)</f>
        <v>0</v>
      </c>
    </row>
    <row r="12" spans="2:24" ht="14.1" customHeight="1">
      <c r="B12" s="1536">
        <v>44287</v>
      </c>
      <c r="C12" s="1541"/>
      <c r="D12" s="1538"/>
      <c r="E12" s="1542"/>
      <c r="F12" s="1543">
        <f>C12*VLOOKUP(SAS_RA0_DataFim,Índices!$B$6:$F$50000,5,0)/VLOOKUP(DATE(YEAR($B12),MONTH($B12)-1,1),Índices!$B$6:$F$50000,5,0)</f>
        <v>0</v>
      </c>
      <c r="G12" s="1543">
        <f>D12*VLOOKUP(SAS_RA0_DataFim,Índices!$B$6:$F$50000,5,0)/VLOOKUP(DATE(YEAR($B12),MONTH($B12)-1,1),Índices!$B$6:$F$50000,5,0)</f>
        <v>0</v>
      </c>
      <c r="H12" s="1543">
        <f>E12*VLOOKUP(SAS_RA0_DataFim,Índices!$B$6:$F$50000,5,0)/VLOOKUP(DATE(YEAR($B12),MONTH($B12)-1,1),Índices!$B$6:$F$50000,5,0)</f>
        <v>0</v>
      </c>
    </row>
    <row r="13" spans="2:24" ht="14.1" customHeight="1">
      <c r="B13" s="1536">
        <v>44317</v>
      </c>
      <c r="C13" s="1542"/>
      <c r="D13" s="1545"/>
      <c r="E13" s="1542"/>
      <c r="F13" s="1543">
        <f>C13*VLOOKUP(SAS_RA0_DataFim,Índices!$B$6:$F$50000,5,0)/VLOOKUP(DATE(YEAR($B13),MONTH($B13)-1,1),Índices!$B$6:$F$50000,5,0)</f>
        <v>0</v>
      </c>
      <c r="G13" s="1543">
        <f>D13*VLOOKUP(SAS_RA0_DataFim,Índices!$B$6:$F$50000,5,0)/VLOOKUP(DATE(YEAR($B13),MONTH($B13)-1,1),Índices!$B$6:$F$50000,5,0)</f>
        <v>0</v>
      </c>
      <c r="H13" s="1543">
        <f>E13*VLOOKUP(SAS_RA0_DataFim,Índices!$B$6:$F$50000,5,0)/VLOOKUP(DATE(YEAR($B13),MONTH($B13)-1,1),Índices!$B$6:$F$50000,5,0)</f>
        <v>0</v>
      </c>
    </row>
    <row r="14" spans="2:24" ht="14.1" customHeight="1">
      <c r="B14" s="1536">
        <v>44348</v>
      </c>
      <c r="C14" s="1546"/>
      <c r="D14" s="1545"/>
      <c r="E14" s="1542"/>
      <c r="F14" s="1543">
        <f>C14*VLOOKUP(SAS_RA0_DataFim,Índices!$B$6:$F$50000,5,0)/VLOOKUP(DATE(YEAR($B14),MONTH($B14)-1,1),Índices!$B$6:$F$50000,5,0)</f>
        <v>0</v>
      </c>
      <c r="G14" s="1543">
        <f>D14*VLOOKUP(SAS_RA0_DataFim,Índices!$B$6:$F$50000,5,0)/VLOOKUP(DATE(YEAR($B14),MONTH($B14)-1,1),Índices!$B$6:$F$50000,5,0)</f>
        <v>0</v>
      </c>
      <c r="H14" s="1543">
        <f>E14*VLOOKUP(SAS_RA0_DataFim,Índices!$B$6:$F$50000,5,0)/VLOOKUP(DATE(YEAR($B14),MONTH($B14)-1,1),Índices!$B$6:$F$50000,5,0)</f>
        <v>0</v>
      </c>
    </row>
    <row r="15" spans="2:24" ht="14.1" customHeight="1">
      <c r="B15" s="1536">
        <v>44378</v>
      </c>
      <c r="C15" s="1546"/>
      <c r="D15" s="1545"/>
      <c r="E15" s="1542"/>
      <c r="F15" s="1543">
        <f>C15*VLOOKUP(SAS_RA0_DataFim,Índices!$B$6:$F$50000,5,0)/VLOOKUP(DATE(YEAR($B15),MONTH($B15)-1,1),Índices!$B$6:$F$50000,5,0)</f>
        <v>0</v>
      </c>
      <c r="G15" s="1543">
        <f>D15*VLOOKUP(SAS_RA0_DataFim,Índices!$B$6:$F$50000,5,0)/VLOOKUP(DATE(YEAR($B15),MONTH($B15)-1,1),Índices!$B$6:$F$50000,5,0)</f>
        <v>0</v>
      </c>
      <c r="H15" s="1543">
        <f>E15*VLOOKUP(SAS_RA0_DataFim,Índices!$B$6:$F$50000,5,0)/VLOOKUP(DATE(YEAR($B15),MONTH($B15)-1,1),Índices!$B$6:$F$50000,5,0)</f>
        <v>0</v>
      </c>
    </row>
    <row r="16" spans="2:24" ht="14.1" customHeight="1">
      <c r="B16" s="1536">
        <v>44409</v>
      </c>
      <c r="C16" s="1546"/>
      <c r="D16" s="1545"/>
      <c r="E16" s="1542"/>
      <c r="F16" s="1543">
        <f>C16*VLOOKUP(SAS_RA0_DataFim,Índices!$B$6:$F$50000,5,0)/VLOOKUP(DATE(YEAR($B16),MONTH($B16)-1,1),Índices!$B$6:$F$50000,5,0)</f>
        <v>0</v>
      </c>
      <c r="G16" s="1543">
        <f>D16*VLOOKUP(SAS_RA0_DataFim,Índices!$B$6:$F$50000,5,0)/VLOOKUP(DATE(YEAR($B16),MONTH($B16)-1,1),Índices!$B$6:$F$50000,5,0)</f>
        <v>0</v>
      </c>
      <c r="H16" s="1543">
        <f>E16*VLOOKUP(SAS_RA0_DataFim,Índices!$B$6:$F$50000,5,0)/VLOOKUP(DATE(YEAR($B16),MONTH($B16)-1,1),Índices!$B$6:$F$50000,5,0)</f>
        <v>0</v>
      </c>
    </row>
    <row r="17" spans="2:8" ht="14.1" customHeight="1">
      <c r="B17" s="1536">
        <v>44440</v>
      </c>
      <c r="C17" s="1546"/>
      <c r="D17" s="1545"/>
      <c r="E17" s="1542"/>
      <c r="F17" s="1543">
        <f>C17*VLOOKUP(SAS_RA0_DataFim,Índices!$B$6:$F$50000,5,0)/VLOOKUP(DATE(YEAR($B17),MONTH($B17)-1,1),Índices!$B$6:$F$50000,5,0)</f>
        <v>0</v>
      </c>
      <c r="G17" s="1543">
        <f>D17*VLOOKUP(SAS_RA0_DataFim,Índices!$B$6:$F$50000,5,0)/VLOOKUP(DATE(YEAR($B17),MONTH($B17)-1,1),Índices!$B$6:$F$50000,5,0)</f>
        <v>0</v>
      </c>
      <c r="H17" s="1543">
        <f>E17*VLOOKUP(SAS_RA0_DataFim,Índices!$B$6:$F$50000,5,0)/VLOOKUP(DATE(YEAR($B17),MONTH($B17)-1,1),Índices!$B$6:$F$50000,5,0)</f>
        <v>0</v>
      </c>
    </row>
    <row r="18" spans="2:8" ht="14.1" customHeight="1">
      <c r="B18" s="1536">
        <v>44470</v>
      </c>
      <c r="C18" s="1546"/>
      <c r="D18" s="1545"/>
      <c r="E18" s="1542"/>
      <c r="F18" s="1543">
        <f>C18*VLOOKUP(SAS_RA0_DataFim,Índices!$B$6:$F$50000,5,0)/VLOOKUP(DATE(YEAR($B18),MONTH($B18)-1,1),Índices!$B$6:$F$50000,5,0)</f>
        <v>0</v>
      </c>
      <c r="G18" s="1543">
        <f>D18*VLOOKUP(SAS_RA0_DataFim,Índices!$B$6:$F$50000,5,0)/VLOOKUP(DATE(YEAR($B18),MONTH($B18)-1,1),Índices!$B$6:$F$50000,5,0)</f>
        <v>0</v>
      </c>
      <c r="H18" s="1543">
        <f>E18*VLOOKUP(SAS_RA0_DataFim,Índices!$B$6:$F$50000,5,0)/VLOOKUP(DATE(YEAR($B18),MONTH($B18)-1,1),Índices!$B$6:$F$50000,5,0)</f>
        <v>0</v>
      </c>
    </row>
    <row r="19" spans="2:8" ht="14.1" customHeight="1">
      <c r="B19" s="1536">
        <v>44501</v>
      </c>
      <c r="C19" s="1546"/>
      <c r="D19" s="1545"/>
      <c r="E19" s="1542"/>
      <c r="F19" s="1543">
        <f>C19*VLOOKUP(SAS_RA0_DataFim,Índices!$B$6:$F$50000,5,0)/VLOOKUP(DATE(YEAR($B19),MONTH($B19)-1,1),Índices!$B$6:$F$50000,5,0)</f>
        <v>0</v>
      </c>
      <c r="G19" s="1543">
        <f>D19*VLOOKUP(SAS_RA0_DataFim,Índices!$B$6:$F$50000,5,0)/VLOOKUP(DATE(YEAR($B19),MONTH($B19)-1,1),Índices!$B$6:$F$50000,5,0)</f>
        <v>0</v>
      </c>
      <c r="H19" s="1543">
        <f>E19*VLOOKUP(SAS_RA0_DataFim,Índices!$B$6:$F$50000,5,0)/VLOOKUP(DATE(YEAR($B19),MONTH($B19)-1,1),Índices!$B$6:$F$50000,5,0)</f>
        <v>0</v>
      </c>
    </row>
    <row r="20" spans="2:8" ht="14.1" customHeight="1">
      <c r="B20" s="1536">
        <v>44531</v>
      </c>
      <c r="C20" s="1546"/>
      <c r="D20" s="1545"/>
      <c r="E20" s="1542"/>
      <c r="F20" s="1543">
        <f>C20*VLOOKUP(SAS_RA0_DataFim,Índices!$B$6:$F$50000,5,0)/VLOOKUP(DATE(YEAR($B20),MONTH($B20)-1,1),Índices!$B$6:$F$50000,5,0)</f>
        <v>0</v>
      </c>
      <c r="G20" s="1543">
        <f>D20*VLOOKUP(SAS_RA0_DataFim,Índices!$B$6:$F$50000,5,0)/VLOOKUP(DATE(YEAR($B20),MONTH($B20)-1,1),Índices!$B$6:$F$50000,5,0)</f>
        <v>0</v>
      </c>
      <c r="H20" s="1543">
        <f>E20*VLOOKUP(SAS_RA0_DataFim,Índices!$B$6:$F$50000,5,0)/VLOOKUP(DATE(YEAR($B20),MONTH($B20)-1,1),Índices!$B$6:$F$50000,5,0)</f>
        <v>0</v>
      </c>
    </row>
    <row r="21" spans="2:8" ht="14.1" customHeight="1">
      <c r="B21" s="1536">
        <v>44562</v>
      </c>
      <c r="C21" s="1546"/>
      <c r="D21" s="1545"/>
      <c r="E21" s="1542"/>
      <c r="F21" s="1543">
        <f>C21*VLOOKUP(SAS_RA0_DataFim,Índices!$B$6:$F$50000,5,0)/VLOOKUP(DATE(YEAR($B21),MONTH($B21)-1,1),Índices!$B$6:$F$50000,5,0)</f>
        <v>0</v>
      </c>
      <c r="G21" s="1543">
        <f>D21*VLOOKUP(SAS_RA0_DataFim,Índices!$B$6:$F$50000,5,0)/VLOOKUP(DATE(YEAR($B21),MONTH($B21)-1,1),Índices!$B$6:$F$50000,5,0)</f>
        <v>0</v>
      </c>
      <c r="H21" s="1543">
        <f>E21*VLOOKUP(SAS_RA0_DataFim,Índices!$B$6:$F$50000,5,0)/VLOOKUP(DATE(YEAR($B21),MONTH($B21)-1,1),Índices!$B$6:$F$50000,5,0)</f>
        <v>0</v>
      </c>
    </row>
    <row r="22" spans="2:8" ht="14.1" customHeight="1">
      <c r="B22" s="1536">
        <v>44593</v>
      </c>
      <c r="C22" s="1546"/>
      <c r="D22" s="1545"/>
      <c r="E22" s="1542"/>
      <c r="F22" s="1543">
        <f>C22*VLOOKUP(SAS_RA0_DataFim,Índices!$B$6:$F$50000,5,0)/VLOOKUP(DATE(YEAR($B22),MONTH($B22)-1,1),Índices!$B$6:$F$50000,5,0)</f>
        <v>0</v>
      </c>
      <c r="G22" s="1543">
        <f>D22*VLOOKUP(SAS_RA0_DataFim,Índices!$B$6:$F$50000,5,0)/VLOOKUP(DATE(YEAR($B22),MONTH($B22)-1,1),Índices!$B$6:$F$50000,5,0)</f>
        <v>0</v>
      </c>
      <c r="H22" s="1543">
        <f>E22*VLOOKUP(SAS_RA0_DataFim,Índices!$B$6:$F$50000,5,0)/VLOOKUP(DATE(YEAR($B22),MONTH($B22)-1,1),Índices!$B$6:$F$50000,5,0)</f>
        <v>0</v>
      </c>
    </row>
    <row r="23" spans="2:8" ht="14.1" customHeight="1">
      <c r="B23" s="1536">
        <v>44621</v>
      </c>
      <c r="C23" s="1546"/>
      <c r="D23" s="1545"/>
      <c r="E23" s="1542"/>
      <c r="F23" s="1543">
        <f>C23*VLOOKUP(SAS_RA0_DataFim,Índices!$B$6:$F$50000,5,0)/VLOOKUP(DATE(YEAR($B23),MONTH($B23)-1,1),Índices!$B$6:$F$50000,5,0)</f>
        <v>0</v>
      </c>
      <c r="G23" s="1543">
        <f>D23*VLOOKUP(SAS_RA0_DataFim,Índices!$B$6:$F$50000,5,0)/VLOOKUP(DATE(YEAR($B23),MONTH($B23)-1,1),Índices!$B$6:$F$50000,5,0)</f>
        <v>0</v>
      </c>
      <c r="H23" s="1543">
        <f>E23*VLOOKUP(SAS_RA0_DataFim,Índices!$B$6:$F$50000,5,0)/VLOOKUP(DATE(YEAR($B23),MONTH($B23)-1,1),Índices!$B$6:$F$50000,5,0)</f>
        <v>0</v>
      </c>
    </row>
    <row r="24" spans="2:8" ht="14.1" customHeight="1">
      <c r="B24" s="1536">
        <v>44652</v>
      </c>
      <c r="C24" s="1546"/>
      <c r="D24" s="1545"/>
      <c r="E24" s="1542"/>
      <c r="F24" s="1543">
        <f>C24*VLOOKUP(SAS_RA0_DataFim,Índices!$B$6:$F$50000,5,0)/VLOOKUP(DATE(YEAR($B24),MONTH($B24)-1,1),Índices!$B$6:$F$50000,5,0)</f>
        <v>0</v>
      </c>
      <c r="G24" s="1543">
        <f>D24*VLOOKUP(SAS_RA0_DataFim,Índices!$B$6:$F$50000,5,0)/VLOOKUP(DATE(YEAR($B24),MONTH($B24)-1,1),Índices!$B$6:$F$50000,5,0)</f>
        <v>0</v>
      </c>
      <c r="H24" s="1543">
        <f>E24*VLOOKUP(SAS_RA0_DataFim,Índices!$B$6:$F$50000,5,0)/VLOOKUP(DATE(YEAR($B24),MONTH($B24)-1,1),Índices!$B$6:$F$50000,5,0)</f>
        <v>0</v>
      </c>
    </row>
    <row r="25" spans="2:8" ht="14.1" customHeight="1">
      <c r="B25" s="1536">
        <v>44682</v>
      </c>
      <c r="C25" s="1546"/>
      <c r="D25" s="1545"/>
      <c r="E25" s="1542"/>
      <c r="F25" s="1543">
        <f>C25*VLOOKUP(SAS_RA0_DataFim,Índices!$B$6:$F$50000,5,0)/VLOOKUP(DATE(YEAR($B25),MONTH($B25)-1,1),Índices!$B$6:$F$50000,5,0)</f>
        <v>0</v>
      </c>
      <c r="G25" s="1543">
        <f>D25*VLOOKUP(SAS_RA0_DataFim,Índices!$B$6:$F$50000,5,0)/VLOOKUP(DATE(YEAR($B25),MONTH($B25)-1,1),Índices!$B$6:$F$50000,5,0)</f>
        <v>0</v>
      </c>
      <c r="H25" s="1543">
        <f>E25*VLOOKUP(SAS_RA0_DataFim,Índices!$B$6:$F$50000,5,0)/VLOOKUP(DATE(YEAR($B25),MONTH($B25)-1,1),Índices!$B$6:$F$50000,5,0)</f>
        <v>0</v>
      </c>
    </row>
    <row r="26" spans="2:8" ht="14.1" customHeight="1">
      <c r="B26" s="1536">
        <v>44713</v>
      </c>
      <c r="C26" s="1546"/>
      <c r="D26" s="1545"/>
      <c r="E26" s="1542"/>
      <c r="F26" s="1543">
        <f>C26*VLOOKUP(SAS_RA0_DataFim,Índices!$B$6:$F$50000,5,0)/VLOOKUP(DATE(YEAR($B26),MONTH($B26)-1,1),Índices!$B$6:$F$50000,5,0)</f>
        <v>0</v>
      </c>
      <c r="G26" s="1543">
        <f>D26*VLOOKUP(SAS_RA0_DataFim,Índices!$B$6:$F$50000,5,0)/VLOOKUP(DATE(YEAR($B26),MONTH($B26)-1,1),Índices!$B$6:$F$50000,5,0)</f>
        <v>0</v>
      </c>
      <c r="H26" s="1543">
        <f>E26*VLOOKUP(SAS_RA0_DataFim,Índices!$B$6:$F$50000,5,0)/VLOOKUP(DATE(YEAR($B26),MONTH($B26)-1,1),Índices!$B$6:$F$50000,5,0)</f>
        <v>0</v>
      </c>
    </row>
    <row r="27" spans="2:8" ht="14.1" customHeight="1">
      <c r="B27" s="1547" t="s">
        <v>758</v>
      </c>
      <c r="C27" s="1548">
        <f>SUM(C9:C26)</f>
        <v>0</v>
      </c>
      <c r="D27" s="1548">
        <f t="shared" ref="D27:E27" si="0">SUM(D9:D26)</f>
        <v>0</v>
      </c>
      <c r="E27" s="1548">
        <f t="shared" si="0"/>
        <v>0</v>
      </c>
      <c r="F27" s="1548">
        <f>SUM(F9:F26)</f>
        <v>0</v>
      </c>
      <c r="G27" s="1548">
        <f t="shared" ref="G27:H27" si="1">SUM(G9:G26)</f>
        <v>0</v>
      </c>
      <c r="H27" s="1548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B5" sqref="B5:B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84" t="s">
        <v>2129</v>
      </c>
    </row>
    <row r="4" spans="1:15">
      <c r="B4" s="1476" t="s">
        <v>2118</v>
      </c>
      <c r="C4" s="1478" t="s">
        <v>2119</v>
      </c>
      <c r="D4" s="1477" t="s">
        <v>2120</v>
      </c>
      <c r="E4" s="1482"/>
      <c r="F4" s="1482"/>
      <c r="G4" s="1482"/>
      <c r="N4" t="s">
        <v>34</v>
      </c>
      <c r="O4" t="s">
        <v>2121</v>
      </c>
    </row>
    <row r="5" spans="1:15">
      <c r="A5" s="796" t="s">
        <v>2070</v>
      </c>
      <c r="B5" s="845" t="s">
        <v>2127</v>
      </c>
      <c r="C5" s="1485">
        <f>IFERROR(VLOOKUP(A5,Escassez[#All],2,FALSE),0)</f>
        <v>0</v>
      </c>
      <c r="D5" s="1485" t="e">
        <f>C5/$C$8*$D$8</f>
        <v>#DIV/0!</v>
      </c>
      <c r="E5" s="1483"/>
      <c r="F5" s="1481"/>
      <c r="G5" s="1472"/>
      <c r="N5" s="8">
        <v>44690</v>
      </c>
      <c r="O5" s="232">
        <f>C8</f>
        <v>0</v>
      </c>
    </row>
    <row r="6" spans="1:15">
      <c r="A6" s="1460" t="s">
        <v>2071</v>
      </c>
      <c r="B6" s="845" t="s">
        <v>2128</v>
      </c>
      <c r="C6" s="1485">
        <f>IFERROR(VLOOKUP(A6,Escassez[#All],2,FALSE),0)</f>
        <v>0</v>
      </c>
      <c r="D6" s="1485" t="e">
        <f>C6/$C$8*$D$8</f>
        <v>#DIV/0!</v>
      </c>
      <c r="E6" s="1483"/>
      <c r="F6" s="1481"/>
      <c r="G6" s="1472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60" t="s">
        <v>2072</v>
      </c>
      <c r="B7" s="845" t="s">
        <v>105</v>
      </c>
      <c r="C7" s="1485">
        <f>IFERROR(VLOOKUP(A7,Escassez[#All],2,FALSE),0)</f>
        <v>0</v>
      </c>
      <c r="D7" s="1485" t="e">
        <f>C7/$C$8*$D$8</f>
        <v>#DIV/0!</v>
      </c>
      <c r="E7" s="1483"/>
      <c r="F7" s="1481"/>
      <c r="G7" s="1472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79"/>
      <c r="C8" s="1486">
        <f>SUM(C5:C7)</f>
        <v>0</v>
      </c>
      <c r="D8" s="1486">
        <f>VLOOKUP(DataRevRea,'Financeiros Mitigação'!N4:O241,2,FALSE)</f>
        <v>0</v>
      </c>
      <c r="E8" s="845"/>
      <c r="F8" s="1473"/>
      <c r="G8" s="1473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91"/>
      <c r="C10" s="1491"/>
      <c r="D10" s="1491"/>
      <c r="E10" s="1491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87" t="s">
        <v>1302</v>
      </c>
      <c r="C12" s="1480"/>
      <c r="D12" s="1488"/>
      <c r="E12" s="1470"/>
      <c r="F12" s="1470"/>
      <c r="G12" s="1470"/>
      <c r="H12" s="1470"/>
      <c r="I12" s="1470"/>
      <c r="J12" s="1470"/>
      <c r="K12" s="1470"/>
      <c r="L12" s="1470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89"/>
      <c r="C13" s="1471"/>
      <c r="D13" s="1471"/>
      <c r="E13" s="1471"/>
      <c r="F13" s="1471"/>
      <c r="G13" s="1471"/>
      <c r="H13" s="1471"/>
      <c r="I13" s="1471"/>
      <c r="J13" s="1471"/>
      <c r="K13" s="1471"/>
      <c r="L13" s="1471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90"/>
      <c r="C14" s="1491"/>
      <c r="D14" s="1491"/>
      <c r="E14" s="1492"/>
      <c r="F14" s="1493"/>
      <c r="G14" s="1472"/>
      <c r="H14" s="1472"/>
      <c r="I14" s="1472"/>
      <c r="J14" s="1472"/>
      <c r="K14" s="1472"/>
      <c r="L14" s="1472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90"/>
      <c r="C15" s="1491"/>
      <c r="D15" s="1491"/>
      <c r="E15" s="1492"/>
      <c r="F15" s="1493"/>
      <c r="G15" s="1472"/>
      <c r="H15" s="1472"/>
      <c r="I15" s="1472"/>
      <c r="J15" s="1472"/>
      <c r="K15" s="1472"/>
      <c r="L15" s="1472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90"/>
      <c r="C16" s="1491"/>
      <c r="D16" s="1491"/>
      <c r="E16" s="1492"/>
      <c r="F16" s="1493"/>
      <c r="G16" s="1472"/>
      <c r="H16" s="1472"/>
      <c r="I16" s="1472"/>
      <c r="J16" s="1472"/>
      <c r="K16" s="1472"/>
      <c r="L16" s="1472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90"/>
      <c r="C17" s="1491"/>
      <c r="D17" s="1491"/>
      <c r="E17" s="1492"/>
      <c r="F17" s="1493"/>
      <c r="G17" s="1472"/>
      <c r="H17" s="1472"/>
      <c r="I17" s="1472"/>
      <c r="J17" s="1472"/>
      <c r="K17" s="1472"/>
      <c r="L17" s="1472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90"/>
      <c r="C18" s="1491"/>
      <c r="D18" s="1491"/>
      <c r="E18" s="1492"/>
      <c r="F18" s="1493"/>
      <c r="G18" s="1472"/>
      <c r="H18" s="1472"/>
      <c r="I18" s="1472"/>
      <c r="J18" s="1472"/>
      <c r="K18" s="1472"/>
      <c r="L18" s="1472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90"/>
      <c r="C19" s="1491"/>
      <c r="D19" s="1491"/>
      <c r="E19" s="1491"/>
      <c r="F19" s="1493"/>
      <c r="G19" s="1472"/>
      <c r="H19" s="1472"/>
      <c r="I19" s="1472"/>
      <c r="J19" s="1472"/>
      <c r="K19" s="1472"/>
      <c r="L19" s="1472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90"/>
      <c r="C20" s="1491"/>
      <c r="D20" s="1491"/>
      <c r="E20" s="1491"/>
      <c r="F20" s="1493"/>
      <c r="G20" s="1472"/>
      <c r="H20" s="1472"/>
      <c r="I20" s="1472"/>
      <c r="J20" s="1472"/>
      <c r="K20" s="1472"/>
      <c r="L20" s="1472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90"/>
      <c r="C21" s="1491"/>
      <c r="D21" s="1491"/>
      <c r="E21" s="1491"/>
      <c r="F21" s="1493"/>
      <c r="G21" s="1472"/>
      <c r="H21" s="1472"/>
      <c r="I21" s="1472"/>
      <c r="J21" s="1472"/>
      <c r="K21" s="1472"/>
      <c r="L21" s="1472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90"/>
      <c r="C22" s="1491"/>
      <c r="D22" s="1491"/>
      <c r="E22" s="1491"/>
      <c r="F22" s="1493"/>
      <c r="G22" s="1472"/>
      <c r="H22" s="1472"/>
      <c r="I22" s="1472"/>
      <c r="J22" s="1472"/>
      <c r="K22" s="1472"/>
      <c r="L22" s="1472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90"/>
      <c r="C23" s="1491"/>
      <c r="D23" s="1491"/>
      <c r="E23" s="1491"/>
      <c r="F23" s="1493"/>
      <c r="G23" s="1472"/>
      <c r="H23" s="1472"/>
      <c r="I23" s="1472"/>
      <c r="J23" s="1472"/>
      <c r="K23" s="1472"/>
      <c r="L23" s="1472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90"/>
      <c r="C24" s="1491"/>
      <c r="D24" s="1491"/>
      <c r="E24" s="1491"/>
      <c r="F24" s="1493"/>
      <c r="G24" s="1472"/>
      <c r="H24" s="1472"/>
      <c r="I24" s="1472"/>
      <c r="J24" s="1472"/>
      <c r="K24" s="1472"/>
      <c r="L24" s="1472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494"/>
      <c r="C25" s="1491"/>
      <c r="D25" s="1491"/>
      <c r="E25" s="1495"/>
      <c r="F25" s="1493"/>
      <c r="G25" s="1472"/>
      <c r="H25" s="1472"/>
      <c r="I25" s="1472"/>
      <c r="J25" s="1472"/>
      <c r="K25" s="1472"/>
      <c r="L25" s="1472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496"/>
      <c r="C26" s="845"/>
      <c r="D26" s="845"/>
      <c r="E26" s="845"/>
      <c r="F26" s="1473"/>
      <c r="G26" s="1473"/>
      <c r="H26" s="1473"/>
      <c r="I26" s="1473"/>
      <c r="J26" s="1473"/>
      <c r="K26" s="1473"/>
      <c r="L26" s="1473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H35" sqref="H35"/>
    </sheetView>
  </sheetViews>
  <sheetFormatPr defaultColWidth="9.140625" defaultRowHeight="15" customHeight="1"/>
  <cols>
    <col min="1" max="1" width="4.42578125" style="854" customWidth="1"/>
    <col min="2" max="2" width="27.28515625" style="854" customWidth="1"/>
    <col min="3" max="5" width="17.7109375" style="855" customWidth="1"/>
    <col min="6" max="7" width="17.7109375" style="854" customWidth="1"/>
    <col min="8" max="8" width="46.42578125" style="854" customWidth="1"/>
    <col min="9" max="9" width="14.7109375" style="854" customWidth="1"/>
    <col min="10" max="13" width="12.7109375" style="854" customWidth="1"/>
    <col min="14" max="17" width="9.140625" style="854"/>
    <col min="18" max="18" width="17" style="854" customWidth="1"/>
    <col min="19" max="19" width="14.28515625" style="854" customWidth="1"/>
    <col min="20" max="20" width="15.42578125" style="854" customWidth="1"/>
    <col min="21" max="21" width="13.85546875" style="854" customWidth="1"/>
    <col min="22" max="22" width="17.140625" style="854" customWidth="1"/>
    <col min="23" max="23" width="13" style="854" customWidth="1"/>
    <col min="24" max="24" width="14.140625" style="854" customWidth="1"/>
    <col min="25" max="25" width="17.7109375" style="854" customWidth="1"/>
    <col min="26" max="26" width="17" style="854" customWidth="1"/>
    <col min="27" max="27" width="14" style="854" customWidth="1"/>
    <col min="28" max="28" width="14.85546875" style="854" customWidth="1"/>
    <col min="29" max="16384" width="9.140625" style="854"/>
  </cols>
  <sheetData>
    <row r="1" spans="1:18" ht="14.45" customHeight="1"/>
    <row r="2" spans="1:18" ht="14.45" customHeight="1">
      <c r="B2" s="856" t="s">
        <v>1304</v>
      </c>
      <c r="C2" s="857"/>
      <c r="D2" s="857"/>
      <c r="E2" s="857"/>
      <c r="F2" s="858"/>
      <c r="G2" s="858"/>
      <c r="H2" s="859" t="s">
        <v>13</v>
      </c>
      <c r="I2" s="860">
        <f>Resultado!$D$6</f>
        <v>0</v>
      </c>
      <c r="J2" s="861"/>
      <c r="K2" s="861"/>
    </row>
    <row r="3" spans="1:18" ht="14.45" customHeight="1">
      <c r="B3" s="862"/>
      <c r="C3" s="863"/>
      <c r="D3" s="863"/>
      <c r="E3" s="863"/>
      <c r="H3" s="864" t="s">
        <v>14</v>
      </c>
      <c r="I3" s="865">
        <f>Resultado!$D$8</f>
        <v>0</v>
      </c>
      <c r="J3" s="861"/>
      <c r="K3" s="861"/>
    </row>
    <row r="4" spans="1:18" ht="14.45" customHeight="1">
      <c r="B4" s="861"/>
      <c r="C4" s="863"/>
      <c r="D4" s="863"/>
      <c r="E4" s="863"/>
      <c r="F4" s="866"/>
      <c r="G4" s="861"/>
      <c r="H4" s="861"/>
      <c r="I4" s="861"/>
      <c r="J4" s="861"/>
      <c r="K4" s="861"/>
    </row>
    <row r="5" spans="1:18" ht="15" customHeight="1">
      <c r="B5" s="861"/>
      <c r="C5" s="867"/>
      <c r="D5" s="863"/>
      <c r="E5" s="863"/>
      <c r="F5" s="866"/>
      <c r="G5" s="861"/>
      <c r="H5" s="861"/>
      <c r="I5" s="861"/>
      <c r="J5" s="861"/>
      <c r="K5" s="861"/>
      <c r="R5" s="1312" t="s">
        <v>872</v>
      </c>
    </row>
    <row r="6" spans="1:18" s="871" customFormat="1" ht="15" customHeight="1">
      <c r="A6" s="868"/>
      <c r="B6" s="869"/>
      <c r="C6" s="870"/>
      <c r="D6" s="870"/>
      <c r="E6" s="870"/>
      <c r="F6" s="869"/>
      <c r="G6" s="869"/>
      <c r="H6" s="869"/>
      <c r="I6" s="869"/>
      <c r="J6" s="869"/>
      <c r="K6" s="869"/>
      <c r="R6" s="889" t="e">
        <f>DATE(YEAR(R8),MONTH(R8)-1,1)</f>
        <v>#NUM!</v>
      </c>
    </row>
    <row r="7" spans="1:18" s="871" customFormat="1" ht="15" customHeight="1">
      <c r="A7" s="868"/>
      <c r="B7" s="872" t="s">
        <v>2131</v>
      </c>
      <c r="C7" s="870"/>
      <c r="D7" s="873"/>
      <c r="E7" s="873"/>
      <c r="F7" s="874"/>
      <c r="G7" s="869"/>
      <c r="H7" s="869"/>
      <c r="I7" s="869"/>
      <c r="J7" s="869"/>
      <c r="K7" s="869"/>
      <c r="R7" s="1312" t="s">
        <v>872</v>
      </c>
    </row>
    <row r="8" spans="1:18" ht="27.95" customHeight="1">
      <c r="B8" s="875" t="s">
        <v>776</v>
      </c>
      <c r="C8" s="875" t="s">
        <v>1305</v>
      </c>
      <c r="D8" s="875" t="s">
        <v>1306</v>
      </c>
      <c r="E8" s="1509"/>
      <c r="F8" s="861"/>
      <c r="G8" s="861"/>
      <c r="H8" s="861"/>
      <c r="I8" s="876"/>
      <c r="R8" s="889" t="e">
        <f>DATE(YEAR(R10),MONTH(R10)-1,1)</f>
        <v>#NUM!</v>
      </c>
    </row>
    <row r="9" spans="1:18" ht="14.45" customHeight="1">
      <c r="B9" s="1313" t="s">
        <v>1307</v>
      </c>
      <c r="C9" s="1314"/>
      <c r="D9" s="1314"/>
      <c r="E9" s="1516"/>
      <c r="F9" s="861"/>
      <c r="G9" s="436"/>
      <c r="H9" s="1315" t="s">
        <v>1308</v>
      </c>
      <c r="I9" s="1559"/>
      <c r="R9" s="1312" t="s">
        <v>872</v>
      </c>
    </row>
    <row r="10" spans="1:18" ht="14.45" customHeight="1">
      <c r="B10" s="877" t="s">
        <v>41</v>
      </c>
      <c r="C10" s="878"/>
      <c r="D10" s="878"/>
      <c r="E10" s="1516"/>
      <c r="F10" s="861"/>
      <c r="G10" s="436"/>
      <c r="H10" s="879" t="s">
        <v>1309</v>
      </c>
      <c r="I10" s="880">
        <f>Indexador!F173</f>
        <v>0</v>
      </c>
      <c r="R10" s="889" t="e">
        <f>DATE(YEAR(R12),MONTH(R12)-1,1)</f>
        <v>#NUM!</v>
      </c>
    </row>
    <row r="11" spans="1:18" ht="14.45" customHeight="1">
      <c r="B11" s="877" t="s">
        <v>1310</v>
      </c>
      <c r="C11" s="878"/>
      <c r="D11" s="878"/>
      <c r="E11" s="1516"/>
      <c r="F11" s="861"/>
      <c r="G11" s="861"/>
      <c r="H11" s="879" t="s">
        <v>1311</v>
      </c>
      <c r="I11" s="1558"/>
      <c r="R11" s="1312" t="s">
        <v>872</v>
      </c>
    </row>
    <row r="12" spans="1:18" ht="14.45" customHeight="1">
      <c r="B12" s="877" t="s">
        <v>635</v>
      </c>
      <c r="C12" s="878"/>
      <c r="D12" s="878"/>
      <c r="E12" s="1516"/>
      <c r="F12" s="861"/>
      <c r="G12" s="436"/>
      <c r="H12" s="879" t="s">
        <v>1312</v>
      </c>
      <c r="I12" s="1558"/>
      <c r="R12" s="889" t="e">
        <f>DATE(YEAR(R14),MONTH(R14)-1,1)</f>
        <v>#NUM!</v>
      </c>
    </row>
    <row r="13" spans="1:18" ht="14.45" customHeight="1">
      <c r="B13" s="877" t="s">
        <v>1313</v>
      </c>
      <c r="C13" s="878"/>
      <c r="D13" s="878"/>
      <c r="E13" s="1516"/>
      <c r="F13" s="861"/>
      <c r="G13" s="436"/>
      <c r="H13" s="879" t="s">
        <v>1314</v>
      </c>
      <c r="I13" s="1316"/>
      <c r="R13" s="1312" t="s">
        <v>872</v>
      </c>
    </row>
    <row r="14" spans="1:18" ht="14.45" customHeight="1">
      <c r="B14" s="877" t="s">
        <v>112</v>
      </c>
      <c r="C14" s="878"/>
      <c r="D14" s="878"/>
      <c r="E14" s="1516"/>
      <c r="F14" s="861"/>
      <c r="G14" s="436"/>
      <c r="H14" s="1315" t="s">
        <v>1315</v>
      </c>
      <c r="I14" s="1560">
        <v>0</v>
      </c>
      <c r="J14" s="861"/>
      <c r="K14" s="861"/>
      <c r="R14" s="889" t="e">
        <f>DATE(YEAR(R16),MONTH(R16)-1,1)</f>
        <v>#NUM!</v>
      </c>
    </row>
    <row r="15" spans="1:18" ht="14.45" customHeight="1">
      <c r="B15" s="877" t="s">
        <v>1316</v>
      </c>
      <c r="C15" s="878"/>
      <c r="D15" s="878"/>
      <c r="E15" s="1516"/>
      <c r="F15" s="861"/>
      <c r="G15" s="436"/>
      <c r="H15" s="1317" t="s">
        <v>1317</v>
      </c>
      <c r="I15" s="1318">
        <f>-Indexador!$N$49</f>
        <v>0</v>
      </c>
      <c r="J15" s="861"/>
      <c r="K15" s="861"/>
      <c r="R15" s="1312" t="s">
        <v>872</v>
      </c>
    </row>
    <row r="16" spans="1:18" ht="14.45" customHeight="1">
      <c r="B16" s="877" t="s">
        <v>109</v>
      </c>
      <c r="C16" s="878"/>
      <c r="D16" s="878"/>
      <c r="E16" s="1516"/>
      <c r="F16" s="862"/>
      <c r="G16" s="436"/>
      <c r="H16" s="861"/>
      <c r="I16" s="876"/>
      <c r="J16" s="861"/>
      <c r="K16" s="861"/>
      <c r="R16" s="889" t="e">
        <f>DATE(YEAR(R18),MONTH(R18)-1,1)</f>
        <v>#NUM!</v>
      </c>
    </row>
    <row r="17" spans="1:18" ht="14.45" customHeight="1">
      <c r="B17" s="877" t="s">
        <v>46</v>
      </c>
      <c r="C17" s="878"/>
      <c r="D17" s="878"/>
      <c r="E17" s="1516"/>
      <c r="F17" s="861"/>
      <c r="G17" s="436"/>
      <c r="H17" s="861"/>
      <c r="I17" s="861"/>
      <c r="J17" s="861"/>
      <c r="K17" s="861"/>
      <c r="R17" s="1312" t="s">
        <v>872</v>
      </c>
    </row>
    <row r="18" spans="1:18" ht="14.45" customHeight="1">
      <c r="B18" s="881" t="s">
        <v>767</v>
      </c>
      <c r="C18" s="882">
        <f>SUM(C9:C17)</f>
        <v>0</v>
      </c>
      <c r="D18" s="882">
        <f t="shared" ref="D18" si="0">SUM(D9:D17)</f>
        <v>0</v>
      </c>
      <c r="E18" s="1517"/>
      <c r="F18" s="861"/>
      <c r="G18" s="861"/>
      <c r="H18" s="861"/>
      <c r="I18" s="861"/>
      <c r="J18" s="861"/>
      <c r="K18" s="861"/>
      <c r="R18" s="889" t="e">
        <f>DATE(YEAR(R20),MONTH(R20)-1,1)</f>
        <v>#NUM!</v>
      </c>
    </row>
    <row r="19" spans="1:18" ht="14.45" hidden="1" customHeight="1">
      <c r="B19" s="861"/>
      <c r="C19" s="863"/>
      <c r="D19" s="863"/>
      <c r="E19" s="863"/>
      <c r="F19" s="861"/>
      <c r="G19" s="861"/>
      <c r="R19" s="1312" t="s">
        <v>872</v>
      </c>
    </row>
    <row r="20" spans="1:18" ht="14.45" customHeight="1">
      <c r="B20" s="861"/>
      <c r="C20" s="863"/>
      <c r="D20" s="863"/>
      <c r="E20" s="863"/>
      <c r="F20" s="861"/>
      <c r="G20" s="861"/>
      <c r="R20" s="889" t="e">
        <f>DATE(YEAR(R22),MONTH(R22)-1,1)</f>
        <v>#NUM!</v>
      </c>
    </row>
    <row r="21" spans="1:18" s="871" customFormat="1" ht="14.45" customHeight="1">
      <c r="A21" s="1501"/>
      <c r="B21" s="1502"/>
      <c r="C21" s="1503"/>
      <c r="D21" s="1503"/>
      <c r="E21" s="1503"/>
      <c r="F21" s="1502"/>
      <c r="G21" s="1502"/>
      <c r="H21" s="1504"/>
      <c r="R21" s="1312" t="s">
        <v>872</v>
      </c>
    </row>
    <row r="22" spans="1:18" ht="14.45" customHeight="1">
      <c r="A22" s="1505"/>
      <c r="B22" s="1506"/>
      <c r="C22" s="1507"/>
      <c r="D22" s="1507"/>
      <c r="E22" s="1507"/>
      <c r="F22" s="1508"/>
      <c r="G22" s="1508"/>
      <c r="H22" s="1505"/>
      <c r="R22" s="889" t="e">
        <f>DATE(YEAR(R24),MONTH(R24)-1,1)</f>
        <v>#NUM!</v>
      </c>
    </row>
    <row r="23" spans="1:18" ht="42" customHeight="1">
      <c r="A23" s="1505"/>
      <c r="B23" s="1509"/>
      <c r="C23" s="1509"/>
      <c r="D23" s="1509"/>
      <c r="E23" s="1509"/>
      <c r="F23" s="1509"/>
      <c r="G23" s="1509"/>
      <c r="H23" s="1505"/>
      <c r="R23" s="1312" t="s">
        <v>872</v>
      </c>
    </row>
    <row r="24" spans="1:18" ht="14.45" customHeight="1">
      <c r="A24" s="1505"/>
      <c r="B24" s="877"/>
      <c r="C24" s="884"/>
      <c r="D24" s="1497"/>
      <c r="E24" s="884"/>
      <c r="F24" s="885"/>
      <c r="G24" s="885"/>
      <c r="H24" s="1510"/>
      <c r="I24" s="883"/>
      <c r="J24" s="883"/>
      <c r="K24" s="891"/>
      <c r="R24" s="889" t="e">
        <f>DATE(YEAR(R26),MONTH(R26)-1,1)</f>
        <v>#NUM!</v>
      </c>
    </row>
    <row r="25" spans="1:18" ht="14.45" customHeight="1">
      <c r="A25" s="1505"/>
      <c r="B25" s="877"/>
      <c r="C25" s="884"/>
      <c r="D25" s="1498"/>
      <c r="E25" s="884"/>
      <c r="F25" s="885"/>
      <c r="G25" s="892"/>
      <c r="H25" s="1510"/>
      <c r="I25" s="883"/>
      <c r="J25" s="883"/>
      <c r="K25" s="876"/>
      <c r="R25" s="1312" t="s">
        <v>872</v>
      </c>
    </row>
    <row r="26" spans="1:18" ht="14.45" customHeight="1">
      <c r="A26" s="1505"/>
      <c r="B26" s="877"/>
      <c r="C26" s="884"/>
      <c r="D26" s="1498"/>
      <c r="E26" s="884"/>
      <c r="F26" s="885"/>
      <c r="G26" s="892"/>
      <c r="H26" s="1510"/>
      <c r="I26" s="883"/>
      <c r="J26" s="883"/>
      <c r="K26" s="876"/>
      <c r="R26" s="889" t="e">
        <f>DATE(YEAR(R28),MONTH(R28)-1,1)</f>
        <v>#NUM!</v>
      </c>
    </row>
    <row r="27" spans="1:18" ht="14.45" customHeight="1">
      <c r="A27" s="1505"/>
      <c r="B27" s="877"/>
      <c r="C27" s="884"/>
      <c r="D27" s="1498"/>
      <c r="E27" s="884"/>
      <c r="F27" s="885"/>
      <c r="G27" s="892"/>
      <c r="H27" s="1510"/>
      <c r="I27" s="885"/>
      <c r="J27" s="885"/>
      <c r="K27" s="876"/>
      <c r="R27" s="1312" t="s">
        <v>872</v>
      </c>
    </row>
    <row r="28" spans="1:18" ht="14.45" customHeight="1">
      <c r="A28" s="1505"/>
      <c r="B28" s="877"/>
      <c r="C28" s="884"/>
      <c r="D28" s="1498"/>
      <c r="E28" s="884"/>
      <c r="F28" s="885"/>
      <c r="G28" s="892"/>
      <c r="H28" s="1510"/>
      <c r="I28" s="885"/>
      <c r="J28" s="885"/>
      <c r="K28" s="876"/>
      <c r="R28" s="889">
        <f>B65</f>
        <v>0</v>
      </c>
    </row>
    <row r="29" spans="1:18" ht="14.45" customHeight="1">
      <c r="A29" s="1505"/>
      <c r="B29" s="877"/>
      <c r="C29" s="884"/>
      <c r="D29" s="1498"/>
      <c r="E29" s="884"/>
      <c r="F29" s="885"/>
      <c r="G29" s="892"/>
      <c r="H29" s="1510"/>
      <c r="I29" s="885"/>
      <c r="J29" s="885"/>
      <c r="K29" s="876"/>
    </row>
    <row r="30" spans="1:18" ht="14.45" customHeight="1">
      <c r="A30" s="1505"/>
      <c r="B30" s="877"/>
      <c r="C30" s="884"/>
      <c r="D30" s="1498"/>
      <c r="E30" s="884"/>
      <c r="F30" s="885"/>
      <c r="G30" s="892"/>
      <c r="H30" s="1508"/>
      <c r="I30" s="885"/>
      <c r="J30" s="885"/>
      <c r="K30" s="876"/>
    </row>
    <row r="31" spans="1:18" ht="14.45" customHeight="1">
      <c r="A31" s="1505"/>
      <c r="B31" s="877"/>
      <c r="C31" s="884"/>
      <c r="D31" s="1498"/>
      <c r="E31" s="884"/>
      <c r="F31" s="885"/>
      <c r="G31" s="892"/>
      <c r="H31" s="1505"/>
      <c r="I31" s="885"/>
      <c r="J31" s="885"/>
      <c r="K31" s="861"/>
    </row>
    <row r="32" spans="1:18" ht="14.45" customHeight="1">
      <c r="A32" s="1505"/>
      <c r="B32" s="877"/>
      <c r="C32" s="884"/>
      <c r="D32" s="1498"/>
      <c r="E32" s="884"/>
      <c r="F32" s="885"/>
      <c r="G32" s="892"/>
      <c r="H32" s="1505"/>
      <c r="I32" s="885"/>
      <c r="J32" s="885"/>
      <c r="K32" s="861"/>
    </row>
    <row r="33" spans="1:11" ht="14.45" customHeight="1">
      <c r="A33" s="1505"/>
      <c r="B33" s="1511"/>
      <c r="C33" s="1512"/>
      <c r="D33" s="1512"/>
      <c r="E33" s="1512"/>
      <c r="F33" s="1513"/>
      <c r="G33" s="1513"/>
      <c r="H33" s="1505"/>
      <c r="I33" s="890"/>
      <c r="J33" s="890"/>
      <c r="K33" s="861"/>
    </row>
    <row r="34" spans="1:11" ht="14.45" customHeight="1">
      <c r="A34" s="1505"/>
      <c r="B34" s="1508"/>
      <c r="C34" s="1514"/>
      <c r="D34" s="1507"/>
      <c r="E34" s="1507"/>
      <c r="F34" s="1508"/>
      <c r="G34" s="1508"/>
      <c r="H34" s="1505"/>
      <c r="K34" s="861"/>
    </row>
    <row r="35" spans="1:11" ht="14.45" customHeight="1">
      <c r="A35" s="1505"/>
      <c r="B35" s="1508"/>
      <c r="C35" s="1507"/>
      <c r="D35" s="1507"/>
      <c r="E35" s="1507"/>
      <c r="F35" s="436"/>
      <c r="G35" s="1508"/>
      <c r="H35" s="1505"/>
      <c r="K35" s="861"/>
    </row>
    <row r="36" spans="1:11" ht="14.45" customHeight="1">
      <c r="A36" s="1505"/>
      <c r="B36" s="1506"/>
      <c r="C36" s="1514"/>
      <c r="D36" s="1507"/>
      <c r="E36" s="1507"/>
      <c r="F36" s="1508"/>
      <c r="G36" s="1515"/>
      <c r="H36" s="1505"/>
      <c r="K36" s="861"/>
    </row>
    <row r="37" spans="1:11" ht="43.5" customHeight="1">
      <c r="A37" s="1505"/>
      <c r="B37" s="1509"/>
      <c r="C37" s="1509"/>
      <c r="D37" s="1509"/>
      <c r="E37" s="886"/>
      <c r="F37" s="436"/>
      <c r="G37" s="1508"/>
      <c r="H37" s="1508"/>
      <c r="I37" s="861"/>
      <c r="J37" s="861"/>
      <c r="K37" s="861"/>
    </row>
    <row r="38" spans="1:11" ht="14.45" customHeight="1">
      <c r="A38" s="1505"/>
      <c r="B38" s="877"/>
      <c r="C38" s="1507"/>
      <c r="D38" s="886"/>
      <c r="E38" s="886"/>
      <c r="F38" s="436"/>
      <c r="G38" s="1508"/>
      <c r="H38" s="1508"/>
      <c r="I38" s="861"/>
      <c r="J38" s="861"/>
      <c r="K38" s="861"/>
    </row>
    <row r="39" spans="1:11" ht="14.45" customHeight="1">
      <c r="A39" s="1505"/>
      <c r="B39" s="877"/>
      <c r="C39" s="1507"/>
      <c r="D39" s="1499"/>
      <c r="E39" s="886"/>
      <c r="F39" s="436"/>
      <c r="G39" s="436"/>
      <c r="H39" s="1508"/>
      <c r="I39" s="861"/>
      <c r="J39" s="861"/>
      <c r="K39" s="861"/>
    </row>
    <row r="40" spans="1:11" ht="14.45" customHeight="1">
      <c r="A40" s="1505"/>
      <c r="B40" s="877"/>
      <c r="C40" s="886"/>
      <c r="D40" s="1499"/>
      <c r="E40" s="886"/>
      <c r="F40" s="436"/>
      <c r="G40" s="1508"/>
      <c r="H40" s="1508"/>
      <c r="I40" s="861"/>
      <c r="J40" s="861"/>
      <c r="K40" s="861"/>
    </row>
    <row r="41" spans="1:11" ht="14.45" customHeight="1">
      <c r="A41" s="1505"/>
      <c r="B41" s="877"/>
      <c r="C41" s="886"/>
      <c r="D41" s="1499"/>
      <c r="E41" s="886"/>
      <c r="F41" s="436"/>
      <c r="G41" s="1508"/>
      <c r="H41" s="1508"/>
      <c r="I41" s="861"/>
      <c r="J41" s="861"/>
      <c r="K41" s="861"/>
    </row>
    <row r="42" spans="1:11" ht="14.45" customHeight="1">
      <c r="A42" s="1505"/>
      <c r="B42" s="877"/>
      <c r="C42" s="1500"/>
      <c r="D42" s="1499"/>
      <c r="E42" s="886"/>
      <c r="F42" s="436"/>
      <c r="G42" s="1508"/>
      <c r="H42" s="1508"/>
      <c r="I42" s="861"/>
      <c r="J42" s="861"/>
      <c r="K42" s="861"/>
    </row>
    <row r="43" spans="1:11" ht="14.45" customHeight="1">
      <c r="A43" s="1505"/>
      <c r="B43" s="877"/>
      <c r="C43" s="886"/>
      <c r="D43" s="886"/>
      <c r="E43" s="886"/>
      <c r="F43" s="436"/>
      <c r="G43" s="1508"/>
      <c r="H43" s="1508"/>
      <c r="I43" s="861"/>
      <c r="J43" s="861"/>
      <c r="K43" s="861"/>
    </row>
    <row r="44" spans="1:11" ht="14.45" customHeight="1">
      <c r="A44" s="1505"/>
      <c r="B44" s="877"/>
      <c r="C44" s="886"/>
      <c r="D44" s="886"/>
      <c r="E44" s="886"/>
      <c r="F44" s="436"/>
      <c r="G44" s="1508"/>
      <c r="H44" s="1508"/>
      <c r="I44" s="861"/>
      <c r="J44" s="861"/>
      <c r="K44" s="861"/>
    </row>
    <row r="45" spans="1:11" ht="14.45" customHeight="1">
      <c r="A45" s="1505"/>
      <c r="B45" s="877"/>
      <c r="C45" s="886"/>
      <c r="D45" s="886"/>
      <c r="E45" s="886"/>
      <c r="F45" s="436"/>
      <c r="G45" s="1508"/>
      <c r="H45" s="1508"/>
      <c r="I45" s="861"/>
      <c r="J45" s="861"/>
      <c r="K45" s="861"/>
    </row>
    <row r="46" spans="1:11" ht="14.45" customHeight="1">
      <c r="A46" s="1505"/>
      <c r="B46" s="877"/>
      <c r="C46" s="886"/>
      <c r="D46" s="886"/>
      <c r="E46" s="886"/>
      <c r="F46" s="436"/>
      <c r="G46" s="1508"/>
      <c r="H46" s="1508"/>
      <c r="I46" s="861"/>
      <c r="J46" s="861"/>
      <c r="K46" s="861"/>
    </row>
    <row r="47" spans="1:11" ht="14.45" customHeight="1">
      <c r="B47" s="436"/>
      <c r="C47" s="886"/>
      <c r="D47" s="886"/>
      <c r="E47" s="886"/>
      <c r="F47" s="436"/>
      <c r="G47" s="861"/>
      <c r="H47" s="861"/>
      <c r="I47" s="861"/>
      <c r="J47" s="861"/>
      <c r="K47" s="861"/>
    </row>
    <row r="48" spans="1:11" ht="14.45" customHeight="1">
      <c r="B48" s="65"/>
      <c r="C48" s="887"/>
      <c r="D48" s="887"/>
      <c r="E48" s="887"/>
      <c r="F48" s="65"/>
    </row>
    <row r="49" spans="2:30" ht="14.45" customHeight="1">
      <c r="B49" s="65"/>
      <c r="C49" s="887"/>
      <c r="D49" s="887"/>
      <c r="E49" s="887"/>
      <c r="F49" s="65"/>
    </row>
    <row r="50" spans="2:30" ht="14.45" customHeight="1"/>
    <row r="52" spans="2:30" ht="15" customHeight="1">
      <c r="B52" s="845"/>
      <c r="C52" s="845"/>
      <c r="D52" s="845"/>
      <c r="E52" s="845"/>
      <c r="F52" s="845"/>
      <c r="G52" s="845"/>
      <c r="H52" s="845"/>
      <c r="I52" s="845"/>
      <c r="J52" s="845"/>
      <c r="K52" s="888"/>
      <c r="L52" s="888"/>
      <c r="M52" s="888"/>
      <c r="N52" s="888"/>
      <c r="O52" s="888"/>
      <c r="P52" s="888"/>
      <c r="Q52" s="888"/>
      <c r="R52" s="888"/>
      <c r="S52" s="888"/>
      <c r="T52" s="888"/>
      <c r="U52" s="888"/>
      <c r="V52" s="888"/>
      <c r="W52" s="888"/>
      <c r="X52" s="888"/>
      <c r="Y52" s="888"/>
      <c r="Z52" s="888"/>
      <c r="AA52" s="888"/>
      <c r="AB52" s="888"/>
      <c r="AC52" s="1505"/>
      <c r="AD52" s="1505"/>
    </row>
    <row r="53" spans="2:30" ht="15" customHeight="1">
      <c r="B53" s="1562"/>
      <c r="C53" s="1562"/>
      <c r="D53" s="1562"/>
      <c r="E53" s="1562"/>
      <c r="F53" s="1562"/>
      <c r="G53" s="1562"/>
      <c r="H53" s="1562"/>
      <c r="I53" s="1562"/>
      <c r="J53" s="1562"/>
      <c r="K53" s="1562"/>
      <c r="L53" s="1562"/>
      <c r="M53" s="1562"/>
      <c r="N53" s="1562"/>
      <c r="O53" s="1562"/>
      <c r="P53" s="1562"/>
      <c r="Q53" s="1562"/>
      <c r="R53" s="1562"/>
      <c r="S53" s="1562"/>
      <c r="T53" s="1562"/>
      <c r="U53" s="1562"/>
      <c r="V53" s="1562"/>
      <c r="W53" s="1562"/>
      <c r="X53" s="1562"/>
      <c r="Y53" s="1562"/>
      <c r="Z53" s="1562"/>
      <c r="AA53" s="1562"/>
      <c r="AB53" s="1562"/>
      <c r="AC53" s="1505"/>
      <c r="AD53" s="1505"/>
    </row>
    <row r="54" spans="2:30" ht="15" customHeight="1">
      <c r="B54" s="1563"/>
      <c r="C54" s="1561"/>
      <c r="D54" s="885"/>
      <c r="E54" s="885"/>
      <c r="F54" s="885"/>
      <c r="G54" s="885"/>
      <c r="H54" s="885"/>
      <c r="I54" s="885"/>
      <c r="J54" s="885"/>
      <c r="K54" s="885"/>
      <c r="L54" s="885"/>
      <c r="M54" s="885"/>
      <c r="N54" s="885"/>
      <c r="O54" s="885"/>
      <c r="P54" s="885"/>
      <c r="Q54" s="885"/>
      <c r="R54" s="1564"/>
      <c r="S54" s="885"/>
      <c r="T54" s="885"/>
      <c r="U54" s="885"/>
      <c r="V54" s="885"/>
      <c r="W54" s="885"/>
      <c r="X54" s="885"/>
      <c r="Y54" s="885"/>
      <c r="Z54" s="885"/>
      <c r="AA54" s="885"/>
      <c r="AB54" s="885"/>
      <c r="AC54" s="1505"/>
      <c r="AD54" s="1505"/>
    </row>
    <row r="55" spans="2:30" ht="15" customHeight="1">
      <c r="B55" s="1563"/>
      <c r="C55" s="1561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1564"/>
      <c r="S55" s="885"/>
      <c r="T55" s="885"/>
      <c r="U55" s="885"/>
      <c r="V55" s="885"/>
      <c r="W55" s="885"/>
      <c r="X55" s="885"/>
      <c r="Y55" s="885"/>
      <c r="Z55" s="885"/>
      <c r="AA55" s="885"/>
      <c r="AB55" s="885"/>
      <c r="AC55" s="1505"/>
      <c r="AD55" s="1505"/>
    </row>
    <row r="56" spans="2:30" ht="15" customHeight="1">
      <c r="B56" s="1563"/>
      <c r="C56" s="1561"/>
      <c r="D56" s="885"/>
      <c r="E56" s="885"/>
      <c r="F56" s="885"/>
      <c r="G56" s="885"/>
      <c r="H56" s="885"/>
      <c r="I56" s="885"/>
      <c r="J56" s="885"/>
      <c r="K56" s="885"/>
      <c r="L56" s="885"/>
      <c r="M56" s="885"/>
      <c r="N56" s="885"/>
      <c r="O56" s="885"/>
      <c r="P56" s="885"/>
      <c r="Q56" s="885"/>
      <c r="R56" s="1564"/>
      <c r="S56" s="885"/>
      <c r="T56" s="885"/>
      <c r="U56" s="885"/>
      <c r="V56" s="885"/>
      <c r="W56" s="885"/>
      <c r="X56" s="885"/>
      <c r="Y56" s="885"/>
      <c r="Z56" s="885"/>
      <c r="AA56" s="885"/>
      <c r="AB56" s="885"/>
      <c r="AC56" s="1505"/>
      <c r="AD56" s="1505"/>
    </row>
    <row r="57" spans="2:30" ht="15" customHeight="1">
      <c r="B57" s="1563"/>
      <c r="C57" s="1561"/>
      <c r="D57" s="885"/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5"/>
      <c r="R57" s="1564"/>
      <c r="S57" s="885"/>
      <c r="T57" s="885"/>
      <c r="U57" s="885"/>
      <c r="V57" s="885"/>
      <c r="W57" s="885"/>
      <c r="X57" s="885"/>
      <c r="Y57" s="885"/>
      <c r="Z57" s="885"/>
      <c r="AA57" s="885"/>
      <c r="AB57" s="885"/>
      <c r="AC57" s="1505"/>
      <c r="AD57" s="1505"/>
    </row>
    <row r="58" spans="2:30" ht="15" customHeight="1">
      <c r="B58" s="1563"/>
      <c r="C58" s="1561"/>
      <c r="D58" s="885"/>
      <c r="E58" s="885"/>
      <c r="F58" s="885"/>
      <c r="G58" s="885"/>
      <c r="H58" s="885"/>
      <c r="I58" s="885"/>
      <c r="J58" s="885"/>
      <c r="K58" s="885"/>
      <c r="L58" s="885"/>
      <c r="M58" s="885"/>
      <c r="N58" s="885"/>
      <c r="O58" s="885"/>
      <c r="P58" s="885"/>
      <c r="Q58" s="885"/>
      <c r="R58" s="1564"/>
      <c r="S58" s="885"/>
      <c r="T58" s="885"/>
      <c r="U58" s="885"/>
      <c r="V58" s="885"/>
      <c r="W58" s="885"/>
      <c r="X58" s="885"/>
      <c r="Y58" s="885"/>
      <c r="Z58" s="885"/>
      <c r="AA58" s="885"/>
      <c r="AB58" s="885"/>
      <c r="AC58" s="1505"/>
      <c r="AD58" s="1505"/>
    </row>
    <row r="59" spans="2:30" ht="15" customHeight="1">
      <c r="B59" s="1563"/>
      <c r="C59" s="1561"/>
      <c r="D59" s="885"/>
      <c r="E59" s="885"/>
      <c r="F59" s="885"/>
      <c r="G59" s="885"/>
      <c r="H59" s="885"/>
      <c r="I59" s="885"/>
      <c r="J59" s="885"/>
      <c r="K59" s="885"/>
      <c r="L59" s="885"/>
      <c r="M59" s="885"/>
      <c r="N59" s="885"/>
      <c r="O59" s="885"/>
      <c r="P59" s="885"/>
      <c r="Q59" s="885"/>
      <c r="R59" s="1564"/>
      <c r="S59" s="885"/>
      <c r="T59" s="885"/>
      <c r="U59" s="885"/>
      <c r="V59" s="885"/>
      <c r="W59" s="885"/>
      <c r="X59" s="885"/>
      <c r="Y59" s="885"/>
      <c r="Z59" s="885"/>
      <c r="AA59" s="885"/>
      <c r="AB59" s="885"/>
      <c r="AC59" s="1505"/>
      <c r="AD59" s="1505"/>
    </row>
    <row r="60" spans="2:30" ht="15" customHeight="1">
      <c r="B60" s="1563"/>
      <c r="C60" s="1561"/>
      <c r="D60" s="885"/>
      <c r="E60" s="885"/>
      <c r="F60" s="885"/>
      <c r="G60" s="885"/>
      <c r="H60" s="885"/>
      <c r="I60" s="885"/>
      <c r="J60" s="885"/>
      <c r="K60" s="885"/>
      <c r="L60" s="885"/>
      <c r="M60" s="885"/>
      <c r="N60" s="885"/>
      <c r="O60" s="885"/>
      <c r="P60" s="885"/>
      <c r="Q60" s="885"/>
      <c r="R60" s="1564"/>
      <c r="S60" s="885"/>
      <c r="T60" s="885"/>
      <c r="U60" s="885"/>
      <c r="V60" s="885"/>
      <c r="W60" s="885"/>
      <c r="X60" s="885"/>
      <c r="Y60" s="885"/>
      <c r="Z60" s="885"/>
      <c r="AA60" s="885"/>
      <c r="AB60" s="885"/>
      <c r="AC60" s="1505"/>
      <c r="AD60" s="1505"/>
    </row>
    <row r="61" spans="2:30" ht="15" customHeight="1">
      <c r="B61" s="1563"/>
      <c r="C61" s="1561"/>
      <c r="D61" s="885"/>
      <c r="E61" s="885"/>
      <c r="F61" s="885"/>
      <c r="G61" s="885"/>
      <c r="H61" s="885"/>
      <c r="I61" s="885"/>
      <c r="J61" s="885"/>
      <c r="K61" s="885"/>
      <c r="L61" s="885"/>
      <c r="M61" s="885"/>
      <c r="N61" s="885"/>
      <c r="O61" s="885"/>
      <c r="P61" s="885"/>
      <c r="Q61" s="885"/>
      <c r="R61" s="1564"/>
      <c r="S61" s="885"/>
      <c r="T61" s="885"/>
      <c r="U61" s="885"/>
      <c r="V61" s="885"/>
      <c r="W61" s="885"/>
      <c r="X61" s="885"/>
      <c r="Y61" s="885"/>
      <c r="Z61" s="885"/>
      <c r="AA61" s="885"/>
      <c r="AB61" s="885"/>
      <c r="AC61" s="1505"/>
      <c r="AD61" s="1505"/>
    </row>
    <row r="62" spans="2:30" ht="15" customHeight="1">
      <c r="B62" s="1563"/>
      <c r="C62" s="1561"/>
      <c r="D62" s="885"/>
      <c r="E62" s="885"/>
      <c r="F62" s="885"/>
      <c r="G62" s="885"/>
      <c r="H62" s="885"/>
      <c r="I62" s="885"/>
      <c r="J62" s="885"/>
      <c r="K62" s="885"/>
      <c r="L62" s="885"/>
      <c r="M62" s="885"/>
      <c r="N62" s="885"/>
      <c r="O62" s="885"/>
      <c r="P62" s="885"/>
      <c r="Q62" s="885"/>
      <c r="R62" s="1564"/>
      <c r="S62" s="885"/>
      <c r="T62" s="885"/>
      <c r="U62" s="885"/>
      <c r="V62" s="885"/>
      <c r="W62" s="885"/>
      <c r="X62" s="885"/>
      <c r="Y62" s="885"/>
      <c r="Z62" s="885"/>
      <c r="AA62" s="885"/>
      <c r="AB62" s="885"/>
      <c r="AC62" s="1505"/>
      <c r="AD62" s="1505"/>
    </row>
    <row r="63" spans="2:30" ht="15" customHeight="1">
      <c r="B63" s="1563"/>
      <c r="C63" s="1561"/>
      <c r="D63" s="885"/>
      <c r="E63" s="885"/>
      <c r="F63" s="885"/>
      <c r="G63" s="885"/>
      <c r="H63" s="885"/>
      <c r="I63" s="885"/>
      <c r="J63" s="885"/>
      <c r="K63" s="885"/>
      <c r="L63" s="885"/>
      <c r="M63" s="885"/>
      <c r="N63" s="885"/>
      <c r="O63" s="885"/>
      <c r="P63" s="885"/>
      <c r="Q63" s="885"/>
      <c r="R63" s="1564"/>
      <c r="S63" s="885"/>
      <c r="T63" s="885"/>
      <c r="U63" s="885"/>
      <c r="V63" s="885"/>
      <c r="W63" s="885"/>
      <c r="X63" s="885"/>
      <c r="Y63" s="885"/>
      <c r="Z63" s="885"/>
      <c r="AA63" s="885"/>
      <c r="AB63" s="885"/>
      <c r="AC63" s="1505"/>
      <c r="AD63" s="1505"/>
    </row>
    <row r="64" spans="2:30" ht="15" customHeight="1">
      <c r="B64" s="1563"/>
      <c r="C64" s="1561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1564"/>
      <c r="S64" s="885"/>
      <c r="T64" s="885"/>
      <c r="U64" s="885"/>
      <c r="V64" s="885"/>
      <c r="W64" s="885"/>
      <c r="X64" s="885"/>
      <c r="Y64" s="885"/>
      <c r="Z64" s="885"/>
      <c r="AA64" s="885"/>
      <c r="AB64" s="885"/>
      <c r="AC64" s="1505"/>
      <c r="AD64" s="1505"/>
    </row>
    <row r="65" spans="2:30" ht="15" customHeight="1">
      <c r="B65" s="1563"/>
      <c r="C65" s="1561"/>
      <c r="D65" s="885"/>
      <c r="E65" s="885"/>
      <c r="F65" s="885"/>
      <c r="G65" s="885"/>
      <c r="H65" s="885"/>
      <c r="I65" s="885"/>
      <c r="J65" s="885"/>
      <c r="K65" s="885"/>
      <c r="L65" s="885"/>
      <c r="M65" s="885"/>
      <c r="N65" s="885"/>
      <c r="O65" s="885"/>
      <c r="P65" s="885"/>
      <c r="Q65" s="885"/>
      <c r="R65" s="1564"/>
      <c r="S65" s="885"/>
      <c r="T65" s="885"/>
      <c r="U65" s="885"/>
      <c r="V65" s="885"/>
      <c r="W65" s="885"/>
      <c r="X65" s="885"/>
      <c r="Y65" s="885"/>
      <c r="Z65" s="885"/>
      <c r="AA65" s="885"/>
      <c r="AB65" s="885"/>
      <c r="AC65" s="1505"/>
      <c r="AD65" s="1505"/>
    </row>
    <row r="66" spans="2:30" ht="15" customHeight="1">
      <c r="B66" s="1453"/>
      <c r="C66" s="1565"/>
      <c r="D66" s="885"/>
      <c r="E66" s="885"/>
      <c r="F66" s="885"/>
      <c r="G66" s="885"/>
      <c r="H66" s="885"/>
      <c r="I66" s="885"/>
      <c r="J66" s="885"/>
      <c r="K66" s="885"/>
      <c r="L66" s="885"/>
      <c r="M66" s="885"/>
      <c r="N66" s="885"/>
      <c r="O66" s="885"/>
      <c r="P66" s="885"/>
      <c r="Q66" s="885"/>
      <c r="R66" s="885"/>
      <c r="S66" s="885"/>
      <c r="T66" s="885"/>
      <c r="U66" s="885"/>
      <c r="V66" s="885"/>
      <c r="W66" s="885"/>
      <c r="X66" s="885"/>
      <c r="Y66" s="885"/>
      <c r="Z66" s="885"/>
      <c r="AA66" s="885"/>
      <c r="AB66" s="885"/>
      <c r="AC66" s="1505"/>
      <c r="AD66" s="1505"/>
    </row>
    <row r="67" spans="2:30" ht="15" customHeight="1">
      <c r="B67" s="1566"/>
      <c r="C67" s="1566"/>
      <c r="D67" s="1513"/>
      <c r="E67" s="1513"/>
      <c r="F67" s="1513"/>
      <c r="G67" s="1513"/>
      <c r="H67" s="1513"/>
      <c r="I67" s="1513"/>
      <c r="J67" s="1513"/>
      <c r="K67" s="1513"/>
      <c r="L67" s="1513"/>
      <c r="M67" s="1513"/>
      <c r="N67" s="1513"/>
      <c r="O67" s="1513"/>
      <c r="P67" s="1513"/>
      <c r="Q67" s="1513"/>
      <c r="R67" s="1513"/>
      <c r="S67" s="1513"/>
      <c r="T67" s="1513"/>
      <c r="U67" s="1513"/>
      <c r="V67" s="1513"/>
      <c r="W67" s="1513"/>
      <c r="X67" s="1513"/>
      <c r="Y67" s="1513"/>
      <c r="Z67" s="1513"/>
      <c r="AA67" s="1513"/>
      <c r="AB67" s="1513"/>
      <c r="AC67" s="1505"/>
      <c r="AD67" s="1505"/>
    </row>
    <row r="68" spans="2:30" ht="15" customHeight="1">
      <c r="B68" s="1505"/>
      <c r="C68" s="1567"/>
      <c r="D68" s="1567"/>
      <c r="E68" s="1567"/>
      <c r="F68" s="1505"/>
      <c r="G68" s="1505"/>
      <c r="H68" s="1505"/>
      <c r="I68" s="1505"/>
      <c r="J68" s="1505"/>
      <c r="K68" s="1505"/>
      <c r="L68" s="1505"/>
      <c r="M68" s="1505"/>
      <c r="N68" s="1505"/>
      <c r="O68" s="1505"/>
      <c r="P68" s="1505"/>
      <c r="Q68" s="1505"/>
      <c r="R68" s="1505"/>
      <c r="S68" s="1505"/>
      <c r="T68" s="1505"/>
      <c r="U68" s="1505"/>
      <c r="V68" s="1505"/>
      <c r="W68" s="1505"/>
      <c r="X68" s="1505"/>
      <c r="Y68" s="1505"/>
      <c r="Z68" s="1505"/>
      <c r="AA68" s="1505"/>
      <c r="AB68" s="1505"/>
      <c r="AC68" s="1505"/>
      <c r="AD68" s="1505"/>
    </row>
    <row r="69" spans="2:30" ht="15" customHeight="1">
      <c r="B69" s="1505"/>
      <c r="C69" s="1567"/>
      <c r="D69" s="1567"/>
      <c r="E69" s="1567"/>
      <c r="F69" s="1505"/>
      <c r="G69" s="1505"/>
      <c r="H69" s="1505"/>
      <c r="I69" s="1505"/>
      <c r="J69" s="1505"/>
      <c r="K69" s="1505"/>
      <c r="L69" s="1505"/>
      <c r="M69" s="1505"/>
      <c r="N69" s="1505"/>
      <c r="O69" s="1505"/>
      <c r="P69" s="1505"/>
      <c r="Q69" s="1505"/>
      <c r="R69" s="1505"/>
      <c r="S69" s="1505"/>
      <c r="T69" s="1505"/>
      <c r="U69" s="1505"/>
      <c r="V69" s="1505"/>
      <c r="W69" s="1505"/>
      <c r="X69" s="1505"/>
      <c r="Y69" s="1505"/>
      <c r="Z69" s="1505"/>
      <c r="AA69" s="1505"/>
      <c r="AB69" s="1505"/>
      <c r="AC69" s="1505"/>
      <c r="AD69" s="1505"/>
    </row>
    <row r="71" spans="2:30" ht="15" customHeight="1">
      <c r="H71" s="893"/>
      <c r="J71" s="893"/>
    </row>
    <row r="72" spans="2:30" ht="15" customHeight="1">
      <c r="H72" s="893"/>
      <c r="J72" s="893"/>
    </row>
    <row r="73" spans="2:30" ht="15" customHeight="1">
      <c r="H73" s="893"/>
      <c r="J73" s="893"/>
    </row>
    <row r="74" spans="2:30" ht="15" customHeight="1">
      <c r="H74" s="893"/>
      <c r="J74" s="893"/>
    </row>
    <row r="75" spans="2:30" ht="15" customHeight="1">
      <c r="H75" s="893"/>
      <c r="J75" s="893"/>
    </row>
    <row r="76" spans="2:30" ht="15" customHeight="1">
      <c r="H76" s="893"/>
      <c r="J76" s="893"/>
    </row>
    <row r="77" spans="2:30" ht="15" customHeight="1">
      <c r="H77" s="893"/>
      <c r="J77" s="893"/>
    </row>
    <row r="78" spans="2:30" ht="15" customHeight="1">
      <c r="H78" s="893"/>
      <c r="J78" s="893"/>
    </row>
    <row r="79" spans="2:30" ht="15" customHeight="1">
      <c r="H79" s="893"/>
      <c r="J79" s="893"/>
    </row>
    <row r="80" spans="2:30" ht="15" customHeight="1">
      <c r="H80" s="893"/>
      <c r="J80" s="893"/>
    </row>
    <row r="81" spans="8:10" ht="15" customHeight="1">
      <c r="H81" s="893"/>
      <c r="J81" s="893"/>
    </row>
    <row r="82" spans="8:10" ht="15" customHeight="1">
      <c r="H82" s="893"/>
      <c r="J82" s="893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F18" sqref="F18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5" t="s">
        <v>1319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4"/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353"/>
      <c r="P2" s="353"/>
      <c r="Q2" s="353"/>
      <c r="R2" s="9"/>
      <c r="S2" s="9"/>
      <c r="T2" s="9"/>
      <c r="U2" s="9"/>
      <c r="V2" s="9"/>
    </row>
    <row r="3" spans="1:22">
      <c r="A3" s="666" t="s">
        <v>1320</v>
      </c>
      <c r="B3" s="65"/>
      <c r="C3" s="65"/>
      <c r="D3" s="65"/>
      <c r="E3" s="65"/>
      <c r="F3" s="664"/>
      <c r="G3" s="353"/>
      <c r="H3" s="353"/>
      <c r="I3" s="666" t="s">
        <v>1321</v>
      </c>
      <c r="J3" s="353"/>
      <c r="K3" s="667"/>
      <c r="L3" s="9"/>
      <c r="M3" s="9"/>
      <c r="N3" s="664"/>
      <c r="O3" s="353"/>
      <c r="P3" s="353"/>
      <c r="Q3" s="353"/>
      <c r="R3" s="9"/>
      <c r="S3" s="9"/>
      <c r="T3" s="9"/>
      <c r="U3" s="9"/>
      <c r="V3" s="9"/>
    </row>
    <row r="4" spans="1:22" ht="25.5">
      <c r="A4" s="1320" t="s">
        <v>22</v>
      </c>
      <c r="B4" s="1321"/>
      <c r="C4" s="668" t="s">
        <v>848</v>
      </c>
      <c r="D4" s="668" t="s">
        <v>1322</v>
      </c>
      <c r="E4" s="668" t="s">
        <v>1323</v>
      </c>
      <c r="F4" s="668" t="s">
        <v>8</v>
      </c>
      <c r="G4" s="669" t="s">
        <v>1324</v>
      </c>
      <c r="H4" s="353"/>
      <c r="I4" s="1320" t="s">
        <v>22</v>
      </c>
      <c r="J4" s="1320"/>
      <c r="K4" s="1320"/>
      <c r="L4" s="668" t="s">
        <v>1323</v>
      </c>
      <c r="M4" s="668" t="s">
        <v>8</v>
      </c>
      <c r="N4" s="669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2" t="s">
        <v>695</v>
      </c>
      <c r="B5" s="1323"/>
      <c r="C5" s="1324">
        <f>SUMPRODUCT(C16:Q16,$C$22:$Q$22)</f>
        <v>0</v>
      </c>
      <c r="D5" s="673">
        <f>SUMPRODUCT(C28:Q28,$C$34:$Q$34)</f>
        <v>0</v>
      </c>
      <c r="E5" s="1325">
        <f>C5-D5</f>
        <v>0</v>
      </c>
      <c r="F5" s="1326">
        <f>Resultado!M9</f>
        <v>0</v>
      </c>
      <c r="G5" s="670">
        <f>F5+E5</f>
        <v>0</v>
      </c>
      <c r="H5" s="353"/>
      <c r="I5" s="1322" t="s">
        <v>695</v>
      </c>
      <c r="J5" s="1322"/>
      <c r="K5" s="1322"/>
      <c r="L5" s="1326">
        <f t="shared" ref="L5:N10" si="0">E5/12</f>
        <v>0</v>
      </c>
      <c r="M5" s="1326">
        <f t="shared" si="0"/>
        <v>0</v>
      </c>
      <c r="N5" s="1324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697</v>
      </c>
      <c r="B6" s="671"/>
      <c r="C6" s="672">
        <f t="shared" ref="C6:C10" si="1">SUMPRODUCT(C17:Q17,$C$22:$Q$22)</f>
        <v>0</v>
      </c>
      <c r="D6" s="673">
        <f t="shared" ref="D6:D10" si="2">SUMPRODUCT(C29:Q29,$C$34:$Q$34)</f>
        <v>0</v>
      </c>
      <c r="E6" s="691">
        <f t="shared" ref="E6:E10" si="3">C6-D6</f>
        <v>0</v>
      </c>
      <c r="F6" s="673">
        <f>Resultado!M10</f>
        <v>0</v>
      </c>
      <c r="G6" s="670">
        <f t="shared" ref="G6:G10" si="4">F6+E6</f>
        <v>0</v>
      </c>
      <c r="H6" s="353"/>
      <c r="I6" s="65" t="s">
        <v>697</v>
      </c>
      <c r="J6" s="65"/>
      <c r="K6" s="65"/>
      <c r="L6" s="673">
        <f t="shared" si="0"/>
        <v>0</v>
      </c>
      <c r="M6" s="673">
        <f t="shared" si="0"/>
        <v>0</v>
      </c>
      <c r="N6" s="672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699</v>
      </c>
      <c r="B7" s="671"/>
      <c r="C7" s="672">
        <f t="shared" si="1"/>
        <v>0</v>
      </c>
      <c r="D7" s="673">
        <f t="shared" si="2"/>
        <v>0</v>
      </c>
      <c r="E7" s="691">
        <f t="shared" si="3"/>
        <v>0</v>
      </c>
      <c r="F7" s="673">
        <f>-Financeiros!D34+Resultado!M11</f>
        <v>0</v>
      </c>
      <c r="G7" s="670">
        <f t="shared" si="4"/>
        <v>0</v>
      </c>
      <c r="H7" s="353"/>
      <c r="I7" s="65" t="s">
        <v>699</v>
      </c>
      <c r="J7" s="65"/>
      <c r="K7" s="65"/>
      <c r="L7" s="673">
        <f t="shared" si="0"/>
        <v>0</v>
      </c>
      <c r="M7" s="673">
        <f t="shared" si="0"/>
        <v>0</v>
      </c>
      <c r="N7" s="672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700</v>
      </c>
      <c r="B8" s="671"/>
      <c r="C8" s="672">
        <f t="shared" si="1"/>
        <v>20870.053442385688</v>
      </c>
      <c r="D8" s="673">
        <f t="shared" si="2"/>
        <v>19667.171709109534</v>
      </c>
      <c r="E8" s="691">
        <f t="shared" si="3"/>
        <v>1202.8817332761537</v>
      </c>
      <c r="F8" s="673">
        <f>Resultado!M12</f>
        <v>10703.517053421238</v>
      </c>
      <c r="G8" s="670">
        <f t="shared" si="4"/>
        <v>11906.398786697391</v>
      </c>
      <c r="H8" s="353"/>
      <c r="I8" s="65" t="s">
        <v>700</v>
      </c>
      <c r="J8" s="65"/>
      <c r="K8" s="65"/>
      <c r="L8" s="673">
        <f t="shared" si="0"/>
        <v>100.24014443967947</v>
      </c>
      <c r="M8" s="673">
        <f t="shared" si="0"/>
        <v>891.95975445176975</v>
      </c>
      <c r="N8" s="672">
        <f t="shared" si="0"/>
        <v>992.19989889144927</v>
      </c>
      <c r="P8" s="353"/>
      <c r="Q8" s="353"/>
      <c r="R8" s="9"/>
      <c r="S8" s="9"/>
      <c r="T8" s="9"/>
      <c r="U8" s="9"/>
      <c r="V8" s="9"/>
    </row>
    <row r="9" spans="1:22">
      <c r="A9" s="65" t="s">
        <v>703</v>
      </c>
      <c r="B9" s="671"/>
      <c r="C9" s="672">
        <f t="shared" si="1"/>
        <v>308542.96858121542</v>
      </c>
      <c r="D9" s="673">
        <f t="shared" si="2"/>
        <v>308086.46861154604</v>
      </c>
      <c r="E9" s="691">
        <f>C9-D9</f>
        <v>456.49996966938488</v>
      </c>
      <c r="F9" s="673">
        <f>Resultado!M13</f>
        <v>158343.66796442235</v>
      </c>
      <c r="G9" s="670">
        <f t="shared" si="4"/>
        <v>158800.16793409173</v>
      </c>
      <c r="H9" s="353"/>
      <c r="I9" s="65" t="s">
        <v>703</v>
      </c>
      <c r="J9" s="65"/>
      <c r="K9" s="65"/>
      <c r="L9" s="673">
        <f t="shared" si="0"/>
        <v>38.041664139115404</v>
      </c>
      <c r="M9" s="673">
        <f t="shared" si="0"/>
        <v>13195.305663701862</v>
      </c>
      <c r="N9" s="672">
        <f t="shared" si="0"/>
        <v>13233.347327840978</v>
      </c>
      <c r="P9" s="353"/>
      <c r="Q9" s="353"/>
      <c r="R9" s="9"/>
      <c r="S9" s="9"/>
      <c r="T9" s="9"/>
      <c r="U9" s="9"/>
      <c r="V9" s="9"/>
    </row>
    <row r="10" spans="1:22">
      <c r="A10" s="1063" t="s">
        <v>705</v>
      </c>
      <c r="B10" s="674"/>
      <c r="C10" s="672">
        <f t="shared" si="1"/>
        <v>0</v>
      </c>
      <c r="D10" s="673">
        <f t="shared" si="2"/>
        <v>0</v>
      </c>
      <c r="E10" s="1327">
        <f t="shared" si="3"/>
        <v>0</v>
      </c>
      <c r="F10" s="1328">
        <f>Resultado!M14</f>
        <v>0</v>
      </c>
      <c r="G10" s="670">
        <f t="shared" si="4"/>
        <v>0</v>
      </c>
      <c r="H10" s="353"/>
      <c r="I10" s="1063" t="s">
        <v>705</v>
      </c>
      <c r="J10" s="1063"/>
      <c r="K10" s="1063"/>
      <c r="L10" s="1328">
        <f t="shared" si="0"/>
        <v>0</v>
      </c>
      <c r="M10" s="1328">
        <f t="shared" si="0"/>
        <v>0</v>
      </c>
      <c r="N10" s="675">
        <f t="shared" si="0"/>
        <v>0</v>
      </c>
      <c r="P10" s="353"/>
      <c r="Q10" s="353"/>
      <c r="R10" s="9"/>
      <c r="S10" s="9"/>
      <c r="T10" s="9"/>
      <c r="U10" s="9"/>
      <c r="V10" s="9"/>
    </row>
    <row r="11" spans="1:22">
      <c r="A11" s="1329" t="s">
        <v>767</v>
      </c>
      <c r="B11" s="1329"/>
      <c r="C11" s="1330">
        <f>SUM(C5:C10)</f>
        <v>329413.02202360111</v>
      </c>
      <c r="D11" s="1330">
        <f>SUM(D5:D10)</f>
        <v>327753.64032065554</v>
      </c>
      <c r="E11" s="1330">
        <f t="shared" ref="E11" si="5">SUM(E5:E10)</f>
        <v>1659.3817029455386</v>
      </c>
      <c r="F11" s="1330">
        <f>SUM(F5:F10)</f>
        <v>169047.18501784359</v>
      </c>
      <c r="G11" s="1331">
        <f>SUM(G5:G10)</f>
        <v>170706.56672078912</v>
      </c>
      <c r="H11" s="353"/>
      <c r="I11" s="1329" t="s">
        <v>767</v>
      </c>
      <c r="J11" s="1329"/>
      <c r="K11" s="1329"/>
      <c r="L11" s="1330">
        <f>SUM(L5:L10)</f>
        <v>138.28180857879488</v>
      </c>
      <c r="M11" s="1330">
        <f>SUM(M5:M10)</f>
        <v>14087.265418153631</v>
      </c>
      <c r="N11" s="1331">
        <f>SUM(N5:N10)</f>
        <v>14225.547226732428</v>
      </c>
      <c r="P11" s="353"/>
      <c r="Q11" s="353"/>
      <c r="R11" s="9"/>
      <c r="S11" s="9"/>
      <c r="T11" s="9"/>
      <c r="U11" s="9"/>
      <c r="V11" s="9"/>
    </row>
    <row r="12" spans="1:22">
      <c r="A12" s="664"/>
      <c r="B12" s="664"/>
      <c r="C12" s="664"/>
      <c r="D12" s="664"/>
      <c r="E12" s="664"/>
      <c r="F12" s="664"/>
      <c r="G12" s="664"/>
      <c r="H12" s="664"/>
      <c r="I12" s="9"/>
      <c r="J12" s="664"/>
      <c r="K12" s="664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6" t="s">
        <v>1325</v>
      </c>
      <c r="B13" s="664"/>
      <c r="C13" s="353"/>
      <c r="D13" s="353"/>
      <c r="E13" s="353"/>
      <c r="F13" s="664"/>
      <c r="G13" s="664"/>
      <c r="H13" s="664"/>
      <c r="I13" s="664"/>
      <c r="J13" s="664"/>
      <c r="K13" s="664"/>
      <c r="L13" s="664"/>
      <c r="M13" s="664"/>
      <c r="N13" s="664"/>
      <c r="O13" s="353"/>
      <c r="P13" s="353"/>
      <c r="Q13" s="353"/>
      <c r="R13" s="9"/>
      <c r="S13" s="9"/>
      <c r="T13" s="9"/>
      <c r="U13" s="9"/>
      <c r="V13" s="9"/>
    </row>
    <row r="14" spans="1:22">
      <c r="A14" s="1841" t="s">
        <v>22</v>
      </c>
      <c r="B14" s="1842" t="s">
        <v>1326</v>
      </c>
      <c r="C14" s="353"/>
      <c r="D14" s="353"/>
      <c r="E14" s="353"/>
      <c r="F14" s="676" t="s">
        <v>872</v>
      </c>
      <c r="G14" s="676" t="s">
        <v>872</v>
      </c>
      <c r="H14" s="676" t="s">
        <v>872</v>
      </c>
      <c r="I14" s="676" t="s">
        <v>872</v>
      </c>
      <c r="J14" s="676" t="s">
        <v>872</v>
      </c>
      <c r="K14" s="676" t="s">
        <v>872</v>
      </c>
      <c r="L14" s="676" t="s">
        <v>872</v>
      </c>
      <c r="M14" s="676" t="s">
        <v>872</v>
      </c>
      <c r="N14" s="676" t="s">
        <v>872</v>
      </c>
      <c r="O14" s="676" t="s">
        <v>872</v>
      </c>
      <c r="P14" s="676" t="s">
        <v>872</v>
      </c>
      <c r="Q14" s="676" t="s">
        <v>872</v>
      </c>
      <c r="R14" s="9"/>
      <c r="S14" s="9"/>
      <c r="T14" s="9"/>
      <c r="U14" s="9"/>
      <c r="V14" s="9"/>
    </row>
    <row r="15" spans="1:22">
      <c r="A15" s="1841"/>
      <c r="B15" s="1842"/>
      <c r="C15" s="677">
        <f t="shared" ref="C15:P15" si="6">EDATE(D15,-1)</f>
        <v>44348</v>
      </c>
      <c r="D15" s="677">
        <f>EDATE(E15,-1)</f>
        <v>44378</v>
      </c>
      <c r="E15" s="677">
        <f>EDATE(F15,-1)</f>
        <v>44409</v>
      </c>
      <c r="F15" s="678">
        <f>EDATE(G15,-1)</f>
        <v>44440</v>
      </c>
      <c r="G15" s="678">
        <f t="shared" si="6"/>
        <v>44470</v>
      </c>
      <c r="H15" s="678">
        <f t="shared" si="6"/>
        <v>44501</v>
      </c>
      <c r="I15" s="678">
        <f t="shared" si="6"/>
        <v>44531</v>
      </c>
      <c r="J15" s="678">
        <f t="shared" si="6"/>
        <v>44562</v>
      </c>
      <c r="K15" s="678">
        <f t="shared" si="6"/>
        <v>44593</v>
      </c>
      <c r="L15" s="678">
        <f t="shared" si="6"/>
        <v>44621</v>
      </c>
      <c r="M15" s="678">
        <f t="shared" si="6"/>
        <v>44652</v>
      </c>
      <c r="N15" s="678">
        <f t="shared" si="6"/>
        <v>44682</v>
      </c>
      <c r="O15" s="678">
        <f t="shared" si="6"/>
        <v>44713</v>
      </c>
      <c r="P15" s="678">
        <f t="shared" si="6"/>
        <v>44743</v>
      </c>
      <c r="Q15" s="678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79" t="s">
        <v>1327</v>
      </c>
      <c r="B16" s="680" t="s">
        <v>924</v>
      </c>
      <c r="C16" s="681">
        <f>C40</f>
        <v>0</v>
      </c>
      <c r="D16" s="681">
        <f t="shared" ref="D16:E16" si="7">D40</f>
        <v>0</v>
      </c>
      <c r="E16" s="681">
        <f t="shared" si="7"/>
        <v>0</v>
      </c>
      <c r="F16" s="681">
        <f t="shared" ref="F16:Q21" si="8">DSUM(MercadoBase,$B16,F$14:F$15)</f>
        <v>0</v>
      </c>
      <c r="G16" s="681">
        <f t="shared" si="8"/>
        <v>0</v>
      </c>
      <c r="H16" s="681">
        <f t="shared" si="8"/>
        <v>0</v>
      </c>
      <c r="I16" s="681">
        <f t="shared" si="8"/>
        <v>0</v>
      </c>
      <c r="J16" s="681">
        <f t="shared" si="8"/>
        <v>0</v>
      </c>
      <c r="K16" s="681">
        <f t="shared" si="8"/>
        <v>0</v>
      </c>
      <c r="L16" s="681">
        <f t="shared" si="8"/>
        <v>0</v>
      </c>
      <c r="M16" s="681">
        <f t="shared" si="8"/>
        <v>0</v>
      </c>
      <c r="N16" s="681">
        <f t="shared" si="8"/>
        <v>0</v>
      </c>
      <c r="O16" s="681">
        <f t="shared" si="8"/>
        <v>0</v>
      </c>
      <c r="P16" s="681">
        <f t="shared" si="8"/>
        <v>0</v>
      </c>
      <c r="Q16" s="681">
        <f t="shared" si="8"/>
        <v>0</v>
      </c>
      <c r="R16" s="9"/>
      <c r="S16" s="9"/>
      <c r="T16" s="9"/>
      <c r="U16" s="9"/>
      <c r="V16" s="9"/>
    </row>
    <row r="17" spans="1:22">
      <c r="A17" s="679" t="s">
        <v>1328</v>
      </c>
      <c r="B17" s="680" t="s">
        <v>925</v>
      </c>
      <c r="C17" s="681">
        <f t="shared" ref="C17:E21" si="9">C41</f>
        <v>0</v>
      </c>
      <c r="D17" s="681">
        <f t="shared" si="9"/>
        <v>0</v>
      </c>
      <c r="E17" s="681">
        <f t="shared" si="9"/>
        <v>0</v>
      </c>
      <c r="F17" s="681">
        <f t="shared" si="8"/>
        <v>0</v>
      </c>
      <c r="G17" s="681">
        <f t="shared" si="8"/>
        <v>0</v>
      </c>
      <c r="H17" s="681">
        <f t="shared" si="8"/>
        <v>0</v>
      </c>
      <c r="I17" s="681">
        <f t="shared" si="8"/>
        <v>0</v>
      </c>
      <c r="J17" s="681">
        <f t="shared" si="8"/>
        <v>0</v>
      </c>
      <c r="K17" s="681">
        <f t="shared" si="8"/>
        <v>0</v>
      </c>
      <c r="L17" s="681">
        <f t="shared" si="8"/>
        <v>0</v>
      </c>
      <c r="M17" s="681">
        <f t="shared" si="8"/>
        <v>0</v>
      </c>
      <c r="N17" s="681">
        <f t="shared" si="8"/>
        <v>0</v>
      </c>
      <c r="O17" s="681">
        <f t="shared" si="8"/>
        <v>0</v>
      </c>
      <c r="P17" s="681">
        <f t="shared" si="8"/>
        <v>0</v>
      </c>
      <c r="Q17" s="681">
        <f t="shared" si="8"/>
        <v>0</v>
      </c>
      <c r="R17" s="9"/>
      <c r="S17" s="9"/>
      <c r="T17" s="9"/>
      <c r="U17" s="9"/>
      <c r="V17" s="9"/>
    </row>
    <row r="18" spans="1:22">
      <c r="A18" s="679" t="s">
        <v>1329</v>
      </c>
      <c r="B18" s="680" t="s">
        <v>926</v>
      </c>
      <c r="C18" s="681">
        <f t="shared" si="9"/>
        <v>0</v>
      </c>
      <c r="D18" s="681">
        <f t="shared" si="9"/>
        <v>0</v>
      </c>
      <c r="E18" s="681">
        <f t="shared" si="9"/>
        <v>0</v>
      </c>
      <c r="F18" s="681">
        <f t="shared" si="8"/>
        <v>0</v>
      </c>
      <c r="G18" s="681">
        <f t="shared" si="8"/>
        <v>0</v>
      </c>
      <c r="H18" s="681">
        <f t="shared" si="8"/>
        <v>0</v>
      </c>
      <c r="I18" s="681">
        <f t="shared" si="8"/>
        <v>0</v>
      </c>
      <c r="J18" s="681">
        <f t="shared" si="8"/>
        <v>0</v>
      </c>
      <c r="K18" s="681">
        <f t="shared" si="8"/>
        <v>0</v>
      </c>
      <c r="L18" s="681">
        <f t="shared" si="8"/>
        <v>0</v>
      </c>
      <c r="M18" s="681">
        <f t="shared" si="8"/>
        <v>0</v>
      </c>
      <c r="N18" s="681">
        <f t="shared" si="8"/>
        <v>0</v>
      </c>
      <c r="O18" s="681">
        <f t="shared" si="8"/>
        <v>0</v>
      </c>
      <c r="P18" s="681">
        <f t="shared" si="8"/>
        <v>0</v>
      </c>
      <c r="Q18" s="681">
        <f t="shared" si="8"/>
        <v>0</v>
      </c>
      <c r="R18" s="9"/>
      <c r="S18" s="9"/>
      <c r="T18" s="9"/>
      <c r="U18" s="9"/>
      <c r="V18" s="9"/>
    </row>
    <row r="19" spans="1:22">
      <c r="A19" s="679" t="s">
        <v>1330</v>
      </c>
      <c r="B19" s="680" t="s">
        <v>927</v>
      </c>
      <c r="C19" s="681">
        <f t="shared" si="9"/>
        <v>0</v>
      </c>
      <c r="D19" s="681">
        <f t="shared" si="9"/>
        <v>0</v>
      </c>
      <c r="E19" s="681">
        <f t="shared" si="9"/>
        <v>0</v>
      </c>
      <c r="F19" s="681">
        <f t="shared" si="8"/>
        <v>1645.0888733999996</v>
      </c>
      <c r="G19" s="681">
        <f t="shared" si="8"/>
        <v>1652.8872042000003</v>
      </c>
      <c r="H19" s="681">
        <f t="shared" si="8"/>
        <v>1715.9816249999985</v>
      </c>
      <c r="I19" s="681">
        <f t="shared" si="8"/>
        <v>1966.9343844000023</v>
      </c>
      <c r="J19" s="681">
        <f t="shared" si="8"/>
        <v>2016.7682333999987</v>
      </c>
      <c r="K19" s="681">
        <f t="shared" si="8"/>
        <v>1408.3511327999986</v>
      </c>
      <c r="L19" s="681">
        <f t="shared" si="8"/>
        <v>1477.4744244000003</v>
      </c>
      <c r="M19" s="681">
        <f t="shared" si="8"/>
        <v>1427.1695951999995</v>
      </c>
      <c r="N19" s="681">
        <f t="shared" si="8"/>
        <v>1556.1880313999991</v>
      </c>
      <c r="O19" s="681">
        <f t="shared" si="8"/>
        <v>1592.7440862000008</v>
      </c>
      <c r="P19" s="681">
        <f t="shared" si="8"/>
        <v>1745.0695206000028</v>
      </c>
      <c r="Q19" s="681">
        <f t="shared" si="8"/>
        <v>1745.0695206000028</v>
      </c>
      <c r="R19" s="9"/>
      <c r="S19" s="9"/>
      <c r="T19" s="9"/>
      <c r="U19" s="9"/>
      <c r="V19" s="9"/>
    </row>
    <row r="20" spans="1:22">
      <c r="A20" s="679" t="s">
        <v>1331</v>
      </c>
      <c r="B20" s="680" t="s">
        <v>928</v>
      </c>
      <c r="C20" s="681">
        <f t="shared" si="9"/>
        <v>0</v>
      </c>
      <c r="D20" s="681">
        <f t="shared" si="9"/>
        <v>0</v>
      </c>
      <c r="E20" s="681">
        <f t="shared" si="9"/>
        <v>0</v>
      </c>
      <c r="F20" s="681">
        <f t="shared" si="8"/>
        <v>22418.587079999979</v>
      </c>
      <c r="G20" s="681">
        <f t="shared" si="8"/>
        <v>25404.36695999997</v>
      </c>
      <c r="H20" s="681">
        <f t="shared" si="8"/>
        <v>23214.130199999981</v>
      </c>
      <c r="I20" s="681">
        <f t="shared" si="8"/>
        <v>22932.969479999978</v>
      </c>
      <c r="J20" s="681">
        <f t="shared" si="8"/>
        <v>27674.035559999975</v>
      </c>
      <c r="K20" s="681">
        <f t="shared" si="8"/>
        <v>30117.985560399968</v>
      </c>
      <c r="L20" s="681">
        <f t="shared" si="8"/>
        <v>26915.62646279997</v>
      </c>
      <c r="M20" s="681">
        <f t="shared" si="8"/>
        <v>22779.354599999981</v>
      </c>
      <c r="N20" s="681">
        <f t="shared" si="8"/>
        <v>20457.810359999985</v>
      </c>
      <c r="O20" s="681">
        <f t="shared" si="8"/>
        <v>26019.526319999975</v>
      </c>
      <c r="P20" s="681">
        <f t="shared" si="8"/>
        <v>23590.031759999976</v>
      </c>
      <c r="Q20" s="681">
        <f t="shared" si="8"/>
        <v>23590.031759999976</v>
      </c>
      <c r="R20" s="9"/>
      <c r="S20" s="9"/>
      <c r="T20" s="9"/>
      <c r="U20" s="9"/>
      <c r="V20" s="9"/>
    </row>
    <row r="21" spans="1:22">
      <c r="A21" s="679" t="s">
        <v>1332</v>
      </c>
      <c r="B21" s="680" t="s">
        <v>929</v>
      </c>
      <c r="C21" s="681">
        <f t="shared" si="9"/>
        <v>0</v>
      </c>
      <c r="D21" s="681">
        <f t="shared" si="9"/>
        <v>0</v>
      </c>
      <c r="E21" s="681">
        <f t="shared" si="9"/>
        <v>0</v>
      </c>
      <c r="F21" s="681">
        <f t="shared" si="8"/>
        <v>0</v>
      </c>
      <c r="G21" s="681">
        <f t="shared" si="8"/>
        <v>0</v>
      </c>
      <c r="H21" s="681">
        <f t="shared" si="8"/>
        <v>0</v>
      </c>
      <c r="I21" s="681">
        <f t="shared" si="8"/>
        <v>0</v>
      </c>
      <c r="J21" s="681">
        <f t="shared" si="8"/>
        <v>0</v>
      </c>
      <c r="K21" s="681">
        <f t="shared" si="8"/>
        <v>0</v>
      </c>
      <c r="L21" s="681">
        <f t="shared" si="8"/>
        <v>0</v>
      </c>
      <c r="M21" s="681">
        <f t="shared" si="8"/>
        <v>0</v>
      </c>
      <c r="N21" s="681">
        <f t="shared" si="8"/>
        <v>0</v>
      </c>
      <c r="O21" s="681">
        <f t="shared" si="8"/>
        <v>0</v>
      </c>
      <c r="P21" s="681">
        <f>DSUM(MercadoBase,$B21,P$14:P$15)</f>
        <v>0</v>
      </c>
      <c r="Q21" s="681">
        <f t="shared" si="8"/>
        <v>0</v>
      </c>
      <c r="R21" s="9"/>
      <c r="S21" s="9"/>
      <c r="T21" s="9"/>
      <c r="U21" s="9"/>
      <c r="V21" s="9"/>
    </row>
    <row r="22" spans="1:22">
      <c r="A22" s="1332" t="s">
        <v>1333</v>
      </c>
      <c r="B22" s="1333" t="s">
        <v>1192</v>
      </c>
      <c r="C22" s="1334">
        <f>VLOOKUP($Q$15,Índices!$B:$F,2,FALSE)/VLOOKUP(EDATE(C15,-1),Índices!$B:$F,2,FALSE)</f>
        <v>1.1082167683385875</v>
      </c>
      <c r="D22" s="1334">
        <f>VLOOKUP($Q$15,Índices!$B:$F,2,FALSE)/VLOOKUP(EDATE(D15,-1),Índices!$B:$F,2,FALSE)</f>
        <v>1.1015781797155986</v>
      </c>
      <c r="E22" s="1334">
        <f>VLOOKUP($Q$15,Índices!$B:$F,2,FALSE)/VLOOKUP(EDATE(E15,-1),Índices!$B:$F,2,FALSE)</f>
        <v>1.0930813258985603</v>
      </c>
      <c r="F22" s="1334">
        <f>VLOOKUP($Q$15,Índices!$B:$F,2,FALSE)/VLOOKUP(EDATE(F15,-1),Índices!$B:$F,2,FALSE)</f>
        <v>1.0858745154816776</v>
      </c>
      <c r="G22" s="1334">
        <f>VLOOKUP($Q$15,Índices!$B:$F,2,FALSE)/VLOOKUP(EDATE(G15,-1),Índices!$B:$F,2,FALSE)</f>
        <v>1.0928625709205468</v>
      </c>
      <c r="H22" s="1334">
        <f>VLOOKUP($Q$15,Índices!$B:$F,2,FALSE)/VLOOKUP(EDATE(H15,-1),Índices!$B:$F,2,FALSE)</f>
        <v>1.0858814807891262</v>
      </c>
      <c r="I22" s="1334">
        <f>VLOOKUP($Q$15,Índices!$B:$F,2,FALSE)/VLOOKUP(EDATE(I15,-1),Índices!$B:$F,2,FALSE)</f>
        <v>1.0856825071943401</v>
      </c>
      <c r="J22" s="1334">
        <f>VLOOKUP($Q$15,Índices!$B:$F,2,FALSE)/VLOOKUP(EDATE(J15,-1),Índices!$B:$F,2,FALSE)</f>
        <v>1.0763096418852884</v>
      </c>
      <c r="K22" s="1334">
        <f>VLOOKUP($Q$15,Índices!$B:$F,2,FALSE)/VLOOKUP(EDATE(K15,-1),Índices!$B:$F,2,FALSE)</f>
        <v>1.0570963934847399</v>
      </c>
      <c r="L22" s="1334">
        <f>VLOOKUP($Q$15,Índices!$B:$F,2,FALSE)/VLOOKUP(EDATE(L15,-1),Índices!$B:$F,2,FALSE)</f>
        <v>1.0380694251480009</v>
      </c>
      <c r="M22" s="1334">
        <f>VLOOKUP($Q$15,Índices!$B:$F,2,FALSE)/VLOOKUP(EDATE(M15,-1),Índices!$B:$F,2,FALSE)</f>
        <v>1.0203079339221537</v>
      </c>
      <c r="N22" s="1334">
        <f>VLOOKUP($Q$15,Índices!$B:$F,2,FALSE)/VLOOKUP(EDATE(N15,-1),Índices!$B:$F,2,FALSE)</f>
        <v>1.0061088003233121</v>
      </c>
      <c r="O22" s="1334">
        <f>VLOOKUP($Q$15,Índices!$B:$F,2,FALSE)/VLOOKUP(EDATE(O15,-1),Índices!$B:$F,2,FALSE)</f>
        <v>1.0008877041571751</v>
      </c>
      <c r="P22" s="1334">
        <f>VLOOKUP($Q$15,Índices!$B:$F,2,FALSE)/VLOOKUP(EDATE(P15,-1),Índices!$B:$F,2,FALSE)</f>
        <v>0.99506416252827723</v>
      </c>
      <c r="Q22" s="1334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35" t="s">
        <v>1334</v>
      </c>
      <c r="B23" s="1336"/>
      <c r="C23" s="1337">
        <f t="shared" ref="C23:Q23" si="10">SUM(C16:C21)*C22</f>
        <v>0</v>
      </c>
      <c r="D23" s="1337">
        <f t="shared" si="10"/>
        <v>0</v>
      </c>
      <c r="E23" s="1337">
        <f t="shared" si="10"/>
        <v>0</v>
      </c>
      <c r="F23" s="1338">
        <f>SUM(F16:F21)*F22</f>
        <v>26130.132466606297</v>
      </c>
      <c r="G23" s="1338">
        <f t="shared" si="10"/>
        <v>29569.860347938251</v>
      </c>
      <c r="H23" s="1338">
        <f t="shared" si="10"/>
        <v>27071.146744769481</v>
      </c>
      <c r="I23" s="1338">
        <f t="shared" si="10"/>
        <v>27033.39005639981</v>
      </c>
      <c r="J23" s="1338">
        <f t="shared" si="10"/>
        <v>31956.498398160689</v>
      </c>
      <c r="K23" s="1338">
        <f t="shared" si="10"/>
        <v>33326.376818167308</v>
      </c>
      <c r="L23" s="1338">
        <f t="shared" si="10"/>
        <v>29474.009916144867</v>
      </c>
      <c r="M23" s="1338">
        <f t="shared" si="10"/>
        <v>24698.108689041117</v>
      </c>
      <c r="N23" s="1338">
        <f t="shared" si="10"/>
        <v>22148.477511890756</v>
      </c>
      <c r="O23" s="1338">
        <f t="shared" si="10"/>
        <v>27636.781933428603</v>
      </c>
      <c r="P23" s="1338">
        <f t="shared" si="10"/>
        <v>25210.051338349302</v>
      </c>
      <c r="Q23" s="1338">
        <f t="shared" si="10"/>
        <v>25158.187802704597</v>
      </c>
      <c r="R23" s="9"/>
      <c r="S23" s="9"/>
      <c r="T23" s="9"/>
      <c r="U23" s="9"/>
      <c r="V23" s="9"/>
    </row>
    <row r="24" spans="1:22">
      <c r="A24" s="9"/>
      <c r="B24" s="9"/>
      <c r="C24" s="9" t="s">
        <v>1335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6" t="s">
        <v>1336</v>
      </c>
      <c r="B25" s="664"/>
      <c r="C25" s="664"/>
      <c r="D25" s="664"/>
      <c r="E25" s="664"/>
      <c r="F25" s="664"/>
      <c r="G25" s="664"/>
      <c r="H25" s="664"/>
      <c r="I25" s="664"/>
      <c r="J25" s="664"/>
      <c r="K25" s="664"/>
      <c r="L25" s="664"/>
      <c r="M25" s="664"/>
      <c r="N25" s="664"/>
      <c r="O25" s="353"/>
      <c r="P25" s="353"/>
      <c r="Q25" s="353"/>
      <c r="R25" s="9"/>
      <c r="S25" s="9"/>
      <c r="T25" s="9"/>
      <c r="U25" s="9"/>
      <c r="V25" s="9"/>
    </row>
    <row r="26" spans="1:22">
      <c r="A26" s="1841" t="s">
        <v>22</v>
      </c>
      <c r="B26" s="1842" t="s">
        <v>1326</v>
      </c>
      <c r="C26" s="676" t="s">
        <v>872</v>
      </c>
      <c r="D26" s="676" t="s">
        <v>872</v>
      </c>
      <c r="E26" s="676" t="s">
        <v>872</v>
      </c>
      <c r="F26" s="676" t="s">
        <v>872</v>
      </c>
      <c r="G26" s="676" t="s">
        <v>872</v>
      </c>
      <c r="H26" s="676" t="s">
        <v>872</v>
      </c>
      <c r="I26" s="676" t="s">
        <v>872</v>
      </c>
      <c r="J26" s="676" t="s">
        <v>872</v>
      </c>
      <c r="K26" s="676" t="s">
        <v>872</v>
      </c>
      <c r="L26" s="676" t="s">
        <v>872</v>
      </c>
      <c r="M26" s="676" t="s">
        <v>872</v>
      </c>
      <c r="N26" s="676" t="s">
        <v>872</v>
      </c>
      <c r="O26" s="676" t="s">
        <v>872</v>
      </c>
      <c r="P26" s="676" t="s">
        <v>872</v>
      </c>
      <c r="Q26" s="676" t="s">
        <v>872</v>
      </c>
      <c r="R26" s="9"/>
      <c r="S26" s="9"/>
      <c r="T26" s="9"/>
      <c r="U26" s="9"/>
      <c r="V26" s="9"/>
    </row>
    <row r="27" spans="1:22">
      <c r="A27" s="1841"/>
      <c r="B27" s="1842"/>
      <c r="C27" s="677">
        <f t="shared" ref="C27:Q27" si="11">C15</f>
        <v>44348</v>
      </c>
      <c r="D27" s="677">
        <f t="shared" si="11"/>
        <v>44378</v>
      </c>
      <c r="E27" s="677">
        <f t="shared" si="11"/>
        <v>44409</v>
      </c>
      <c r="F27" s="678">
        <f>F15</f>
        <v>44440</v>
      </c>
      <c r="G27" s="678">
        <f t="shared" si="11"/>
        <v>44470</v>
      </c>
      <c r="H27" s="678">
        <f t="shared" si="11"/>
        <v>44501</v>
      </c>
      <c r="I27" s="678">
        <f t="shared" si="11"/>
        <v>44531</v>
      </c>
      <c r="J27" s="678">
        <f t="shared" si="11"/>
        <v>44562</v>
      </c>
      <c r="K27" s="678">
        <f t="shared" si="11"/>
        <v>44593</v>
      </c>
      <c r="L27" s="678">
        <f t="shared" si="11"/>
        <v>44621</v>
      </c>
      <c r="M27" s="678">
        <f t="shared" si="11"/>
        <v>44652</v>
      </c>
      <c r="N27" s="678">
        <f t="shared" si="11"/>
        <v>44682</v>
      </c>
      <c r="O27" s="678">
        <f t="shared" si="11"/>
        <v>44713</v>
      </c>
      <c r="P27" s="678">
        <f t="shared" si="11"/>
        <v>44743</v>
      </c>
      <c r="Q27" s="678">
        <f t="shared" si="11"/>
        <v>44774</v>
      </c>
      <c r="S27" s="9"/>
      <c r="T27" s="9"/>
      <c r="U27" s="9"/>
      <c r="V27" s="9"/>
    </row>
    <row r="28" spans="1:22">
      <c r="A28" s="679" t="s">
        <v>1327</v>
      </c>
      <c r="B28" s="680" t="s">
        <v>695</v>
      </c>
      <c r="C28" s="681">
        <f>IF(C40=0,0,VLOOKUP($B28,BD!$B$61:$C$66,2,FALSE))</f>
        <v>0</v>
      </c>
      <c r="D28" s="681">
        <f>IF(D40=0,0,VLOOKUP($B28,BD!$B$61:$C$66,2,FALSE))</f>
        <v>0</v>
      </c>
      <c r="E28" s="681">
        <f>IF(E40=0,0,VLOOKUP($B28,BD!$B$61:$C$66,2,FALSE))</f>
        <v>0</v>
      </c>
      <c r="F28" s="681">
        <f>VLOOKUP($B28,BD!$B$61:$C$66,2,FALSE)</f>
        <v>0</v>
      </c>
      <c r="G28" s="681">
        <f>VLOOKUP($B28,BD!$B$61:$C$66,2,FALSE)</f>
        <v>0</v>
      </c>
      <c r="H28" s="681">
        <f>VLOOKUP($B28,BD!$B$61:$C$66,2,FALSE)</f>
        <v>0</v>
      </c>
      <c r="I28" s="681">
        <f>VLOOKUP($B28,BD!$B$61:$C$66,2,FALSE)</f>
        <v>0</v>
      </c>
      <c r="J28" s="681">
        <f>VLOOKUP($B28,BD!$B$61:$C$66,2,FALSE)</f>
        <v>0</v>
      </c>
      <c r="K28" s="681">
        <f>VLOOKUP($B28,BD!$B$61:$C$66,2,FALSE)</f>
        <v>0</v>
      </c>
      <c r="L28" s="681">
        <f>VLOOKUP($B28,BD!$B$61:$C$66,2,FALSE)</f>
        <v>0</v>
      </c>
      <c r="M28" s="681">
        <f>VLOOKUP($B28,BD!$B$61:$C$66,2,FALSE)</f>
        <v>0</v>
      </c>
      <c r="N28" s="681">
        <f>VLOOKUP($B28,BD!$B$61:$C$66,2,FALSE)</f>
        <v>0</v>
      </c>
      <c r="O28" s="681">
        <f>VLOOKUP($B28,BD!$B$61:$C$66,2,FALSE)</f>
        <v>0</v>
      </c>
      <c r="P28" s="681">
        <f>VLOOKUP($B28,BD!$B$61:$C$66,2,FALSE)</f>
        <v>0</v>
      </c>
      <c r="Q28" s="681">
        <f>VLOOKUP($B28,BD!$B$61:$C$66,2,FALSE)</f>
        <v>0</v>
      </c>
      <c r="S28" s="9"/>
      <c r="T28" s="9"/>
      <c r="U28" s="9"/>
      <c r="V28" s="9"/>
    </row>
    <row r="29" spans="1:22">
      <c r="A29" s="679" t="s">
        <v>1328</v>
      </c>
      <c r="B29" s="680" t="s">
        <v>697</v>
      </c>
      <c r="C29" s="681">
        <f>IF(C41=0,0,VLOOKUP($B29,BD!$B$61:$C$66,2,FALSE))</f>
        <v>0</v>
      </c>
      <c r="D29" s="681">
        <f>IF(D41=0,0,VLOOKUP($B29,BD!$B$61:$C$66,2,FALSE))</f>
        <v>0</v>
      </c>
      <c r="E29" s="681">
        <f>IF(E41=0,0,VLOOKUP($B29,BD!$B$61:$C$66,2,FALSE))</f>
        <v>0</v>
      </c>
      <c r="F29" s="681">
        <f>VLOOKUP($B29,BD!$B$61:$C$66,2,FALSE)</f>
        <v>0</v>
      </c>
      <c r="G29" s="681">
        <f>VLOOKUP($B29,BD!$B$61:$C$66,2,FALSE)</f>
        <v>0</v>
      </c>
      <c r="H29" s="681">
        <f>VLOOKUP($B29,BD!$B$61:$C$66,2,FALSE)</f>
        <v>0</v>
      </c>
      <c r="I29" s="681">
        <f>VLOOKUP($B29,BD!$B$61:$C$66,2,FALSE)</f>
        <v>0</v>
      </c>
      <c r="J29" s="681">
        <f>VLOOKUP($B29,BD!$B$61:$C$66,2,FALSE)</f>
        <v>0</v>
      </c>
      <c r="K29" s="681">
        <f>VLOOKUP($B29,BD!$B$61:$C$66,2,FALSE)</f>
        <v>0</v>
      </c>
      <c r="L29" s="681">
        <f>VLOOKUP($B29,BD!$B$61:$C$66,2,FALSE)</f>
        <v>0</v>
      </c>
      <c r="M29" s="681">
        <f>VLOOKUP($B29,BD!$B$61:$C$66,2,FALSE)</f>
        <v>0</v>
      </c>
      <c r="N29" s="681">
        <f>VLOOKUP($B29,BD!$B$61:$C$66,2,FALSE)</f>
        <v>0</v>
      </c>
      <c r="O29" s="681">
        <f>VLOOKUP($B29,BD!$B$61:$C$66,2,FALSE)</f>
        <v>0</v>
      </c>
      <c r="P29" s="681">
        <f>VLOOKUP($B29,BD!$B$61:$C$66,2,FALSE)</f>
        <v>0</v>
      </c>
      <c r="Q29" s="681">
        <f>VLOOKUP($B29,BD!$B$61:$C$66,2,FALSE)</f>
        <v>0</v>
      </c>
      <c r="S29" s="9"/>
      <c r="T29" s="9"/>
      <c r="U29" s="9"/>
      <c r="V29" s="9"/>
    </row>
    <row r="30" spans="1:22">
      <c r="A30" s="679" t="s">
        <v>1329</v>
      </c>
      <c r="B30" s="680" t="s">
        <v>699</v>
      </c>
      <c r="C30" s="681">
        <f>IF(C42=0,0,VLOOKUP($B30,BD!$B$61:$C$66,2,FALSE))</f>
        <v>0</v>
      </c>
      <c r="D30" s="681">
        <f>IF(D42=0,0,VLOOKUP($B30,BD!$B$61:$C$66,2,FALSE))</f>
        <v>0</v>
      </c>
      <c r="E30" s="681">
        <f>IF(E42=0,0,VLOOKUP($B30,BD!$B$61:$C$66,2,FALSE))</f>
        <v>0</v>
      </c>
      <c r="F30" s="681">
        <f>VLOOKUP($B30,BD!$B$61:$C$66,2,FALSE)</f>
        <v>0</v>
      </c>
      <c r="G30" s="681">
        <f>VLOOKUP($B30,BD!$B$61:$C$66,2,FALSE)</f>
        <v>0</v>
      </c>
      <c r="H30" s="681">
        <f>VLOOKUP($B30,BD!$B$61:$C$66,2,FALSE)</f>
        <v>0</v>
      </c>
      <c r="I30" s="681">
        <f>VLOOKUP($B30,BD!$B$61:$C$66,2,FALSE)</f>
        <v>0</v>
      </c>
      <c r="J30" s="681">
        <f>VLOOKUP($B30,BD!$B$61:$C$66,2,FALSE)</f>
        <v>0</v>
      </c>
      <c r="K30" s="681">
        <f>VLOOKUP($B30,BD!$B$61:$C$66,2,FALSE)</f>
        <v>0</v>
      </c>
      <c r="L30" s="681">
        <f>VLOOKUP($B30,BD!$B$61:$C$66,2,FALSE)</f>
        <v>0</v>
      </c>
      <c r="M30" s="681">
        <f>VLOOKUP($B30,BD!$B$61:$C$66,2,FALSE)</f>
        <v>0</v>
      </c>
      <c r="N30" s="681">
        <f>VLOOKUP($B30,BD!$B$61:$C$66,2,FALSE)</f>
        <v>0</v>
      </c>
      <c r="O30" s="681">
        <f>VLOOKUP($B30,BD!$B$61:$C$66,2,FALSE)</f>
        <v>0</v>
      </c>
      <c r="P30" s="681">
        <f>VLOOKUP($B30,BD!$B$61:$C$66,2,FALSE)</f>
        <v>0</v>
      </c>
      <c r="Q30" s="681">
        <f>VLOOKUP($B30,BD!$B$61:$C$66,2,FALSE)</f>
        <v>0</v>
      </c>
      <c r="S30" s="9"/>
      <c r="T30" s="9"/>
      <c r="U30" s="9"/>
      <c r="V30" s="9"/>
    </row>
    <row r="31" spans="1:22">
      <c r="A31" s="679" t="s">
        <v>1330</v>
      </c>
      <c r="B31" s="680" t="s">
        <v>700</v>
      </c>
      <c r="C31" s="681">
        <f>IF(C43=0,0,VLOOKUP($B31,BD!$B$61:$C$66,2,FALSE))</f>
        <v>0</v>
      </c>
      <c r="D31" s="681">
        <f>IF(D43=0,0,VLOOKUP($B31,BD!$B$61:$C$66,2,FALSE))</f>
        <v>0</v>
      </c>
      <c r="E31" s="681">
        <f>IF(E43=0,0,VLOOKUP($B31,BD!$B$61:$C$66,2,FALSE))</f>
        <v>0</v>
      </c>
      <c r="F31" s="681">
        <f>VLOOKUP($B31,BD!$B$61:$C$66,2,FALSE)</f>
        <v>1568.71</v>
      </c>
      <c r="G31" s="681">
        <f>VLOOKUP($B31,BD!$B$61:$C$66,2,FALSE)</f>
        <v>1568.71</v>
      </c>
      <c r="H31" s="681">
        <f>VLOOKUP($B31,BD!$B$61:$C$66,2,FALSE)</f>
        <v>1568.71</v>
      </c>
      <c r="I31" s="681">
        <f>VLOOKUP($B31,BD!$B$61:$C$66,2,FALSE)</f>
        <v>1568.71</v>
      </c>
      <c r="J31" s="681">
        <f>VLOOKUP($B31,BD!$B$61:$C$66,2,FALSE)</f>
        <v>1568.71</v>
      </c>
      <c r="K31" s="681">
        <f>VLOOKUP($B31,BD!$B$61:$C$66,2,FALSE)</f>
        <v>1568.71</v>
      </c>
      <c r="L31" s="681">
        <f>VLOOKUP($B31,BD!$B$61:$C$66,2,FALSE)</f>
        <v>1568.71</v>
      </c>
      <c r="M31" s="681">
        <f>VLOOKUP($B31,BD!$B$61:$C$66,2,FALSE)</f>
        <v>1568.71</v>
      </c>
      <c r="N31" s="681">
        <f>VLOOKUP($B31,BD!$B$61:$C$66,2,FALSE)</f>
        <v>1568.71</v>
      </c>
      <c r="O31" s="681">
        <f>VLOOKUP($B31,BD!$B$61:$C$66,2,FALSE)</f>
        <v>1568.71</v>
      </c>
      <c r="P31" s="681">
        <f>VLOOKUP($B31,BD!$B$61:$C$66,2,FALSE)</f>
        <v>1568.71</v>
      </c>
      <c r="Q31" s="681">
        <f>VLOOKUP($B31,BD!$B$61:$C$66,2,FALSE)</f>
        <v>1568.71</v>
      </c>
      <c r="S31" s="9"/>
      <c r="T31" s="9"/>
      <c r="U31" s="9"/>
      <c r="V31" s="9"/>
    </row>
    <row r="32" spans="1:22">
      <c r="A32" s="679" t="s">
        <v>1331</v>
      </c>
      <c r="B32" s="680" t="s">
        <v>703</v>
      </c>
      <c r="C32" s="681">
        <f>IF(C44=0,0,VLOOKUP($B32,BD!$B$61:$C$66,2,FALSE))</f>
        <v>0</v>
      </c>
      <c r="D32" s="681">
        <f>IF(D44=0,0,VLOOKUP($B32,BD!$B$61:$C$66,2,FALSE))</f>
        <v>0</v>
      </c>
      <c r="E32" s="681">
        <f>IF(E44=0,0,VLOOKUP($B32,BD!$B$61:$C$66,2,FALSE))</f>
        <v>0</v>
      </c>
      <c r="F32" s="681">
        <f>VLOOKUP($B32,BD!$B$61:$C$66,2,FALSE)</f>
        <v>24573.86</v>
      </c>
      <c r="G32" s="681">
        <f>VLOOKUP($B32,BD!$B$61:$C$66,2,FALSE)</f>
        <v>24573.86</v>
      </c>
      <c r="H32" s="681">
        <f>VLOOKUP($B32,BD!$B$61:$C$66,2,FALSE)</f>
        <v>24573.86</v>
      </c>
      <c r="I32" s="681">
        <f>VLOOKUP($B32,BD!$B$61:$C$66,2,FALSE)</f>
        <v>24573.86</v>
      </c>
      <c r="J32" s="681">
        <f>VLOOKUP($B32,BD!$B$61:$C$66,2,FALSE)</f>
        <v>24573.86</v>
      </c>
      <c r="K32" s="681">
        <f>VLOOKUP($B32,BD!$B$61:$C$66,2,FALSE)</f>
        <v>24573.86</v>
      </c>
      <c r="L32" s="681">
        <f>VLOOKUP($B32,BD!$B$61:$C$66,2,FALSE)</f>
        <v>24573.86</v>
      </c>
      <c r="M32" s="681">
        <f>VLOOKUP($B32,BD!$B$61:$C$66,2,FALSE)</f>
        <v>24573.86</v>
      </c>
      <c r="N32" s="681">
        <f>VLOOKUP($B32,BD!$B$61:$C$66,2,FALSE)</f>
        <v>24573.86</v>
      </c>
      <c r="O32" s="681">
        <f>VLOOKUP($B32,BD!$B$61:$C$66,2,FALSE)</f>
        <v>24573.86</v>
      </c>
      <c r="P32" s="681">
        <f>VLOOKUP($B32,BD!$B$61:$C$66,2,FALSE)</f>
        <v>24573.86</v>
      </c>
      <c r="Q32" s="681">
        <f>VLOOKUP($B32,BD!$B$61:$C$66,2,FALSE)</f>
        <v>24573.86</v>
      </c>
      <c r="S32" s="9"/>
      <c r="T32" s="9"/>
      <c r="U32" s="9"/>
      <c r="V32" s="9"/>
    </row>
    <row r="33" spans="1:22">
      <c r="A33" s="682" t="s">
        <v>1332</v>
      </c>
      <c r="B33" s="680" t="s">
        <v>705</v>
      </c>
      <c r="C33" s="681">
        <f>IF(C45=0,0,VLOOKUP($B33,BD!$B$61:$C$66,2,FALSE))</f>
        <v>0</v>
      </c>
      <c r="D33" s="681">
        <f>IF(D45=0,0,VLOOKUP($B33,BD!$B$61:$C$66,2,FALSE))</f>
        <v>0</v>
      </c>
      <c r="E33" s="681">
        <f>IF(E45=0,0,VLOOKUP($B33,BD!$B$61:$C$66,2,FALSE))</f>
        <v>0</v>
      </c>
      <c r="F33" s="681">
        <f>VLOOKUP($B33,BD!$B$61:$C$66,2,FALSE)</f>
        <v>0</v>
      </c>
      <c r="G33" s="681">
        <f>VLOOKUP($B33,BD!$B$61:$C$66,2,FALSE)</f>
        <v>0</v>
      </c>
      <c r="H33" s="681">
        <f>VLOOKUP($B33,BD!$B$61:$C$66,2,FALSE)</f>
        <v>0</v>
      </c>
      <c r="I33" s="681">
        <f>VLOOKUP($B33,BD!$B$61:$C$66,2,FALSE)</f>
        <v>0</v>
      </c>
      <c r="J33" s="681">
        <f>VLOOKUP($B33,BD!$B$61:$C$66,2,FALSE)</f>
        <v>0</v>
      </c>
      <c r="K33" s="681">
        <f>VLOOKUP($B33,BD!$B$61:$C$66,2,FALSE)</f>
        <v>0</v>
      </c>
      <c r="L33" s="681">
        <f>VLOOKUP($B33,BD!$B$61:$C$66,2,FALSE)</f>
        <v>0</v>
      </c>
      <c r="M33" s="681">
        <f>VLOOKUP($B33,BD!$B$61:$C$66,2,FALSE)</f>
        <v>0</v>
      </c>
      <c r="N33" s="681">
        <f>VLOOKUP($B33,BD!$B$61:$C$66,2,FALSE)</f>
        <v>0</v>
      </c>
      <c r="O33" s="681">
        <f>VLOOKUP($B33,BD!$B$61:$C$66,2,FALSE)</f>
        <v>0</v>
      </c>
      <c r="P33" s="681">
        <f>VLOOKUP($B33,BD!$B$61:$C$66,2,FALSE)</f>
        <v>0</v>
      </c>
      <c r="Q33" s="681">
        <f>VLOOKUP($B33,BD!$B$61:$C$66,2,FALSE)</f>
        <v>0</v>
      </c>
      <c r="S33" s="9"/>
      <c r="T33" s="9"/>
      <c r="U33" s="9"/>
      <c r="V33" s="9"/>
    </row>
    <row r="34" spans="1:22">
      <c r="A34" s="1332" t="s">
        <v>1333</v>
      </c>
      <c r="B34" s="1333" t="s">
        <v>1192</v>
      </c>
      <c r="C34" s="1339">
        <f t="shared" ref="C34:Q34" si="12">C22</f>
        <v>1.1082167683385875</v>
      </c>
      <c r="D34" s="1339">
        <f t="shared" si="12"/>
        <v>1.1015781797155986</v>
      </c>
      <c r="E34" s="1339">
        <f t="shared" si="12"/>
        <v>1.0930813258985603</v>
      </c>
      <c r="F34" s="1334">
        <f t="shared" si="12"/>
        <v>1.0858745154816776</v>
      </c>
      <c r="G34" s="1334">
        <f t="shared" si="12"/>
        <v>1.0928625709205468</v>
      </c>
      <c r="H34" s="1334">
        <f t="shared" si="12"/>
        <v>1.0858814807891262</v>
      </c>
      <c r="I34" s="1334">
        <f t="shared" si="12"/>
        <v>1.0856825071943401</v>
      </c>
      <c r="J34" s="1334">
        <f t="shared" si="12"/>
        <v>1.0763096418852884</v>
      </c>
      <c r="K34" s="1334">
        <f t="shared" si="12"/>
        <v>1.0570963934847399</v>
      </c>
      <c r="L34" s="1334">
        <f t="shared" si="12"/>
        <v>1.0380694251480009</v>
      </c>
      <c r="M34" s="1334">
        <f t="shared" si="12"/>
        <v>1.0203079339221537</v>
      </c>
      <c r="N34" s="1334">
        <f t="shared" si="12"/>
        <v>1.0061088003233121</v>
      </c>
      <c r="O34" s="1334">
        <f t="shared" si="12"/>
        <v>1.0008877041571751</v>
      </c>
      <c r="P34" s="1334">
        <f t="shared" si="12"/>
        <v>0.99506416252827723</v>
      </c>
      <c r="Q34" s="1334">
        <f t="shared" si="12"/>
        <v>0.99301706056210437</v>
      </c>
      <c r="S34" s="9"/>
      <c r="T34" s="9"/>
      <c r="U34" s="9"/>
      <c r="V34" s="9"/>
    </row>
    <row r="35" spans="1:22">
      <c r="A35" s="1335" t="s">
        <v>1334</v>
      </c>
      <c r="B35" s="1336"/>
      <c r="C35" s="1337">
        <f>SUM(C28:C33)*C34</f>
        <v>0</v>
      </c>
      <c r="D35" s="1337">
        <f t="shared" ref="D35:Q35" si="13">SUM(D28:D33)*D34</f>
        <v>0</v>
      </c>
      <c r="E35" s="1337">
        <f t="shared" si="13"/>
        <v>0</v>
      </c>
      <c r="F35" s="1338">
        <f t="shared" si="13"/>
        <v>28387.550532195841</v>
      </c>
      <c r="G35" s="1338">
        <f t="shared" si="13"/>
        <v>28570.236260670361</v>
      </c>
      <c r="H35" s="1338">
        <f t="shared" si="13"/>
        <v>28387.732623233387</v>
      </c>
      <c r="I35" s="1338">
        <f t="shared" si="13"/>
        <v>28382.530942103538</v>
      </c>
      <c r="J35" s="1338">
        <f t="shared" si="13"/>
        <v>28137.500154661084</v>
      </c>
      <c r="K35" s="1338">
        <f t="shared" si="13"/>
        <v>27635.216463422359</v>
      </c>
      <c r="L35" s="1338">
        <f t="shared" si="13"/>
        <v>27137.802611791376</v>
      </c>
      <c r="M35" s="1338">
        <f t="shared" si="13"/>
        <v>26673.471584115276</v>
      </c>
      <c r="N35" s="1338">
        <f t="shared" si="13"/>
        <v>26302.269740068208</v>
      </c>
      <c r="O35" s="1338">
        <f t="shared" si="13"/>
        <v>26165.776868068242</v>
      </c>
      <c r="P35" s="1338">
        <f t="shared" si="13"/>
        <v>26013.534523386865</v>
      </c>
      <c r="Q35" s="1338">
        <f t="shared" si="13"/>
        <v>25960.018016939051</v>
      </c>
      <c r="R35" s="9"/>
      <c r="S35" s="9"/>
      <c r="T35" s="9"/>
      <c r="U35" s="9"/>
      <c r="V35" s="9"/>
    </row>
    <row r="36" spans="1:22">
      <c r="A36" s="1340"/>
      <c r="B36" s="1322"/>
      <c r="C36" s="1340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6" t="s">
        <v>1337</v>
      </c>
      <c r="B37" s="680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1" t="s">
        <v>22</v>
      </c>
      <c r="B38" s="1842" t="s">
        <v>1326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41"/>
      <c r="B39" s="1843"/>
      <c r="C39" s="1341">
        <f>C27</f>
        <v>44348</v>
      </c>
      <c r="D39" s="1341">
        <f t="shared" ref="D39:E39" si="14">D27</f>
        <v>44378</v>
      </c>
      <c r="E39" s="1341">
        <f t="shared" si="14"/>
        <v>44409</v>
      </c>
      <c r="G39" s="837"/>
      <c r="H39" s="837"/>
      <c r="I39" s="837"/>
      <c r="J39" s="837"/>
      <c r="K39" s="837"/>
      <c r="L39" s="840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79" t="s">
        <v>1327</v>
      </c>
      <c r="B40" s="683"/>
      <c r="C40" s="684"/>
      <c r="D40" s="685"/>
      <c r="E40" s="685"/>
      <c r="F40" s="65"/>
      <c r="G40" s="841"/>
      <c r="H40" s="681"/>
      <c r="I40" s="681"/>
      <c r="J40" s="681"/>
      <c r="K40" s="681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79" t="s">
        <v>1328</v>
      </c>
      <c r="B41" s="683"/>
      <c r="C41" s="684"/>
      <c r="D41" s="685"/>
      <c r="E41" s="685"/>
      <c r="F41" s="65"/>
      <c r="G41" s="841"/>
      <c r="H41" s="681"/>
      <c r="I41" s="681"/>
      <c r="J41" s="681"/>
      <c r="K41" s="681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79" t="s">
        <v>1329</v>
      </c>
      <c r="B42" s="683"/>
      <c r="C42" s="684"/>
      <c r="D42" s="685"/>
      <c r="E42" s="685"/>
      <c r="F42" s="65"/>
      <c r="G42" s="841"/>
      <c r="H42" s="681"/>
      <c r="I42" s="681"/>
      <c r="J42" s="681"/>
      <c r="K42" s="681"/>
      <c r="L42" s="842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79" t="s">
        <v>1330</v>
      </c>
      <c r="B43" s="683"/>
      <c r="C43" s="684"/>
      <c r="D43" s="685"/>
      <c r="E43" s="685"/>
      <c r="F43" s="65"/>
      <c r="G43" s="841"/>
      <c r="H43" s="681"/>
      <c r="I43" s="681"/>
      <c r="J43" s="681"/>
      <c r="K43" s="681"/>
      <c r="L43" s="842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79" t="s">
        <v>1331</v>
      </c>
      <c r="B44" s="683"/>
      <c r="C44" s="684"/>
      <c r="D44" s="685"/>
      <c r="E44" s="685"/>
      <c r="F44" s="65"/>
      <c r="G44" s="841"/>
      <c r="H44" s="681"/>
      <c r="I44" s="681"/>
      <c r="J44" s="681"/>
      <c r="K44" s="681"/>
      <c r="L44" s="842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2" t="s">
        <v>1332</v>
      </c>
      <c r="B45" s="683"/>
      <c r="C45" s="686"/>
      <c r="D45" s="839"/>
      <c r="E45" s="839"/>
      <c r="F45" s="65"/>
      <c r="G45" s="841"/>
      <c r="H45" s="681"/>
      <c r="I45" s="681"/>
      <c r="J45" s="681"/>
      <c r="K45" s="681"/>
      <c r="L45" s="842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3"/>
      <c r="L46" s="844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2" t="s">
        <v>8</v>
      </c>
      <c r="B49" s="1343"/>
      <c r="C49" s="1342"/>
      <c r="D49" s="9"/>
    </row>
    <row r="50" spans="1:10">
      <c r="A50" s="1343" t="s">
        <v>2</v>
      </c>
      <c r="B50" s="1343"/>
      <c r="C50" s="1319"/>
    </row>
    <row r="51" spans="1:10">
      <c r="A51" s="1343" t="s">
        <v>3</v>
      </c>
      <c r="B51" s="1343"/>
      <c r="C51" s="1319"/>
      <c r="D51" s="232"/>
    </row>
    <row r="52" spans="1:10">
      <c r="A52" s="1343" t="s">
        <v>4</v>
      </c>
      <c r="B52" s="1343"/>
      <c r="C52" s="1319"/>
      <c r="D52" s="232"/>
    </row>
    <row r="53" spans="1:10">
      <c r="A53" s="1343" t="s">
        <v>5</v>
      </c>
      <c r="B53" s="1343"/>
      <c r="C53" s="1319"/>
      <c r="D53" s="232"/>
    </row>
    <row r="54" spans="1:10">
      <c r="A54" s="1343" t="s">
        <v>6</v>
      </c>
      <c r="B54" s="1343"/>
      <c r="C54" s="1319"/>
      <c r="D54" s="232"/>
      <c r="H54" s="1344"/>
      <c r="I54" s="1345"/>
      <c r="J54" s="1346"/>
    </row>
    <row r="55" spans="1:10">
      <c r="A55" s="1343" t="s">
        <v>7</v>
      </c>
      <c r="B55" s="1343"/>
      <c r="C55" s="1319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="85" zoomScaleNormal="85" workbookViewId="0">
      <pane ySplit="3" topLeftCell="A4" activePane="bottomLeft" state="frozen"/>
      <selection activeCell="D36" sqref="D36"/>
      <selection pane="bottomLeft" activeCell="H17" sqref="H17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0" t="s">
        <v>1338</v>
      </c>
      <c r="C1" s="258"/>
      <c r="D1" s="258"/>
      <c r="E1" s="204"/>
      <c r="F1" s="1347"/>
      <c r="G1" s="1128" t="s">
        <v>871</v>
      </c>
      <c r="H1" s="1129">
        <f ca="1">LnkTXTIRTEco</f>
        <v>7.1900000000000006E-2</v>
      </c>
    </row>
    <row r="2" spans="2:26" ht="14.25">
      <c r="B2" s="136" t="str">
        <f>CAPA!C9</f>
        <v>Certrel</v>
      </c>
      <c r="C2" s="1348"/>
      <c r="D2" s="1348"/>
      <c r="E2" s="1348"/>
      <c r="F2" s="1349"/>
      <c r="G2" s="120" t="s">
        <v>875</v>
      </c>
      <c r="H2" s="121">
        <f ca="1">LnkTXTIRTTotal</f>
        <v>-3.0800000000000001E-2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44"/>
      <c r="P4" s="1844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0" t="s">
        <v>1339</v>
      </c>
      <c r="M6" s="1351"/>
      <c r="O6" s="267"/>
      <c r="P6" s="287"/>
      <c r="Z6" s="68"/>
    </row>
    <row r="7" spans="2:26" ht="14.25">
      <c r="C7" s="71"/>
      <c r="L7" s="212" t="s">
        <v>1192</v>
      </c>
      <c r="M7" s="213">
        <v>1</v>
      </c>
      <c r="O7" s="267"/>
      <c r="P7" s="287"/>
      <c r="Z7" s="68"/>
    </row>
    <row r="8" spans="2:26" ht="14.25">
      <c r="L8" s="212" t="s">
        <v>770</v>
      </c>
      <c r="M8" s="213">
        <v>2</v>
      </c>
      <c r="O8" s="267"/>
      <c r="P8" s="287"/>
      <c r="Z8" s="68"/>
    </row>
    <row r="9" spans="2:26" ht="14.25">
      <c r="B9" s="288" t="s">
        <v>1340</v>
      </c>
      <c r="D9" s="289" t="s">
        <v>1341</v>
      </c>
      <c r="L9" s="212" t="s">
        <v>1342</v>
      </c>
      <c r="M9" s="213">
        <v>4</v>
      </c>
      <c r="O9" s="267"/>
      <c r="P9" s="287"/>
      <c r="Z9" s="68"/>
    </row>
    <row r="10" spans="2:26" ht="14.25">
      <c r="L10" s="212" t="s">
        <v>1343</v>
      </c>
      <c r="M10" s="214">
        <f>CAPA!K16</f>
        <v>8.5874515481677571E-2</v>
      </c>
      <c r="O10" s="267"/>
      <c r="P10" s="287"/>
      <c r="Z10" s="68"/>
    </row>
    <row r="11" spans="2:26" ht="14.25">
      <c r="B11" s="1847" t="s">
        <v>1344</v>
      </c>
      <c r="C11" s="1848"/>
      <c r="D11" s="1352" t="s">
        <v>1345</v>
      </c>
      <c r="E11" s="1353" t="s">
        <v>1346</v>
      </c>
      <c r="F11" s="1354" t="s">
        <v>1347</v>
      </c>
      <c r="G11" s="1353" t="s">
        <v>2409</v>
      </c>
      <c r="H11" s="1353" t="s">
        <v>2408</v>
      </c>
      <c r="I11" s="1353"/>
      <c r="J11" s="1353"/>
      <c r="L11" s="212" t="s">
        <v>1348</v>
      </c>
      <c r="M11" s="214">
        <f>CAPA!K17</f>
        <v>8.727291292620043E-2</v>
      </c>
      <c r="O11" s="267"/>
      <c r="P11" s="287"/>
      <c r="Z11" s="68"/>
    </row>
    <row r="12" spans="2:26" ht="14.25">
      <c r="B12" s="1853" t="s">
        <v>1349</v>
      </c>
      <c r="C12" s="1848"/>
      <c r="D12" s="1355" t="s">
        <v>1342</v>
      </c>
      <c r="E12" s="1355" t="s">
        <v>770</v>
      </c>
      <c r="F12" s="1355" t="s">
        <v>770</v>
      </c>
      <c r="G12" s="1355" t="s">
        <v>770</v>
      </c>
      <c r="H12" s="1355" t="s">
        <v>770</v>
      </c>
      <c r="I12" s="1355" t="s">
        <v>770</v>
      </c>
      <c r="J12" s="1355" t="s">
        <v>770</v>
      </c>
      <c r="L12" s="1356" t="s">
        <v>1350</v>
      </c>
      <c r="M12" s="1357">
        <v>41275</v>
      </c>
      <c r="O12" s="267"/>
      <c r="P12" s="287"/>
      <c r="Z12" s="68"/>
    </row>
    <row r="13" spans="2:26" ht="14.25">
      <c r="B13" s="1854" t="s">
        <v>1351</v>
      </c>
      <c r="C13" s="1855"/>
      <c r="D13" s="1358">
        <v>43617</v>
      </c>
      <c r="E13" s="1358">
        <v>43617</v>
      </c>
      <c r="F13" s="1358">
        <v>43617</v>
      </c>
      <c r="G13" s="1358">
        <v>44774</v>
      </c>
      <c r="H13" s="1358">
        <f t="shared" ref="H13:J14" si="0">G13</f>
        <v>44774</v>
      </c>
      <c r="I13" s="1358">
        <f t="shared" si="0"/>
        <v>44774</v>
      </c>
      <c r="J13" s="1358">
        <f t="shared" si="0"/>
        <v>44774</v>
      </c>
      <c r="L13" s="197"/>
      <c r="M13" s="215">
        <v>41306</v>
      </c>
      <c r="O13" s="267"/>
      <c r="P13" s="287"/>
      <c r="Z13" s="68"/>
    </row>
    <row r="14" spans="2:26" ht="14.25">
      <c r="B14" s="1845" t="s">
        <v>1352</v>
      </c>
      <c r="C14" s="1846"/>
      <c r="D14" s="1358">
        <v>42887</v>
      </c>
      <c r="E14" s="1358">
        <v>43252</v>
      </c>
      <c r="F14" s="1358">
        <v>43252</v>
      </c>
      <c r="G14" s="1358">
        <v>44409</v>
      </c>
      <c r="H14" s="1358">
        <f t="shared" si="0"/>
        <v>44409</v>
      </c>
      <c r="I14" s="1358">
        <f t="shared" si="0"/>
        <v>44409</v>
      </c>
      <c r="J14" s="1358">
        <f t="shared" si="0"/>
        <v>44409</v>
      </c>
      <c r="L14" s="1359"/>
      <c r="M14" s="1360">
        <v>41334</v>
      </c>
      <c r="O14" s="267"/>
      <c r="P14" s="287"/>
      <c r="Z14" s="68"/>
    </row>
    <row r="15" spans="2:26" ht="14.25">
      <c r="B15" s="1845" t="s">
        <v>1353</v>
      </c>
      <c r="C15" s="1846"/>
      <c r="D15" s="1361">
        <f>VLOOKUP(D13,Índices!$B$6:$F$500,VLOOKUP(D12,$L$7:$M$9,2,FALSE)+1,FALSE)/VLOOKUP(D14,Índices!$B$6:$F$500,VLOOKUP(D12,$L$7:$M$9,2,FALSE)+1,FALSE)</f>
        <v>1.1414978440075982</v>
      </c>
      <c r="E15" s="1361">
        <f>VLOOKUP(E13,Índices!$B$6:$F$500,VLOOKUP(E12,$L$7:$M$9,2,FALSE)+1,FALSE)/VLOOKUP(E14,Índices!$B$6:$F$500,VLOOKUP(E12,$L$7:$M$9,2,FALSE)+1,FALSE)</f>
        <v>1.0336626715248016</v>
      </c>
      <c r="F15" s="1361">
        <f>VLOOKUP(F13,Índices!$B$6:$F$500,VLOOKUP(F12,$L$7:$M$9,2,FALSE)+1,FALSE)/VLOOKUP(F14,Índices!$B$6:$F$500,VLOOKUP(F12,$L$7:$M$9,2,FALSE)+1,FALSE)</f>
        <v>1.0336626715248016</v>
      </c>
      <c r="G15" s="1361">
        <f>VLOOKUP(G13,Índices!$B$6:$F$500,VLOOKUP(G12,$L$7:$M$9,2,FALSE)+1,FALSE)/VLOOKUP(G14,Índices!$B$6:$F$500,VLOOKUP(G12,$L$7:$M$9,2,FALSE)+1,FALSE)</f>
        <v>1.0872729129262004</v>
      </c>
      <c r="H15" s="1361">
        <f>VLOOKUP(H13,Índices!$B$6:$F$500,VLOOKUP(H12,$L$7:$M$9,2,FALSE)+1,FALSE)/VLOOKUP(H14,Índices!$B$6:$F$500,VLOOKUP(H12,$L$7:$M$9,2,FALSE)+1,FALSE)</f>
        <v>1.0872729129262004</v>
      </c>
      <c r="I15" s="1361">
        <f>VLOOKUP(I13,Índices!$B$6:$F$500,VLOOKUP(I12,$L$7:$M$9,2,FALSE)+1,FALSE)/VLOOKUP(I14,Índices!$B$6:$F$500,VLOOKUP(I12,$L$7:$M$9,2,FALSE)+1,FALSE)</f>
        <v>1.0872729129262004</v>
      </c>
      <c r="J15" s="1361">
        <f>VLOOKUP(J13,Índices!$B$6:$F$500,VLOOKUP(J12,$L$7:$M$9,2,FALSE)+1,FALSE)/VLOOKUP(J14,Índices!$B$6:$F$500,VLOOKUP(J12,$L$7:$M$9,2,FALSE)+1,FALSE)</f>
        <v>1.0872729129262004</v>
      </c>
      <c r="O15" s="267"/>
      <c r="P15" s="287"/>
      <c r="Z15" s="68"/>
    </row>
    <row r="16" spans="2:26" ht="14.25">
      <c r="B16" s="1845" t="s">
        <v>1354</v>
      </c>
      <c r="C16" s="1846"/>
      <c r="D16" s="1362"/>
      <c r="E16" s="1362"/>
      <c r="F16" s="1362"/>
      <c r="G16" s="1362">
        <v>238267.51999999999</v>
      </c>
      <c r="H16" s="1362">
        <v>131530.21</v>
      </c>
      <c r="I16" s="1362"/>
      <c r="J16" s="1362"/>
      <c r="O16" s="267"/>
      <c r="P16" s="287"/>
      <c r="Z16" s="68"/>
    </row>
    <row r="17" spans="1:26" ht="14.25">
      <c r="B17" s="1851" t="s">
        <v>1355</v>
      </c>
      <c r="C17" s="1852"/>
      <c r="D17" s="1363">
        <f t="shared" ref="D17:E17" si="1">D16*D15</f>
        <v>0</v>
      </c>
      <c r="E17" s="1363">
        <f t="shared" si="1"/>
        <v>0</v>
      </c>
      <c r="F17" s="1363">
        <f>F16*F15</f>
        <v>0</v>
      </c>
      <c r="G17" s="1363">
        <f>G16*G15</f>
        <v>259061.82052610171</v>
      </c>
      <c r="H17" s="1363">
        <f>H16*H15</f>
        <v>143009.23456449484</v>
      </c>
      <c r="I17" s="1363">
        <f>I16*I15</f>
        <v>0</v>
      </c>
      <c r="J17" s="1363">
        <f>J16*J15</f>
        <v>0</v>
      </c>
      <c r="O17" s="267"/>
      <c r="P17" s="92"/>
      <c r="Z17" s="68"/>
    </row>
    <row r="18" spans="1:26" ht="14.25">
      <c r="E18" s="290" t="s">
        <v>1356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1357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1358</v>
      </c>
      <c r="E20" s="291" t="s">
        <v>1359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64" t="s">
        <v>1344</v>
      </c>
      <c r="C22" s="1849" t="s">
        <v>2278</v>
      </c>
      <c r="D22" s="1850"/>
      <c r="E22" s="1862" t="s">
        <v>1360</v>
      </c>
      <c r="F22" s="1863"/>
      <c r="G22" s="1862" t="str">
        <f>Financeiros!C25</f>
        <v>Ajuste CUST RB Fronteira + PIS Cofins RB Fronteira</v>
      </c>
      <c r="H22" s="1863"/>
      <c r="I22" s="1866" t="s">
        <v>1174</v>
      </c>
      <c r="J22" s="1867"/>
      <c r="K22" s="1856" t="s">
        <v>1361</v>
      </c>
      <c r="L22" s="1857"/>
      <c r="M22" s="1858" t="s">
        <v>2155</v>
      </c>
      <c r="N22" s="1859"/>
      <c r="O22" s="1860" t="s">
        <v>1362</v>
      </c>
      <c r="P22" s="1861"/>
      <c r="Q22" s="1860" t="s">
        <v>192</v>
      </c>
      <c r="R22" s="1861"/>
      <c r="S22" s="1860" t="s">
        <v>2040</v>
      </c>
      <c r="T22" s="1861"/>
      <c r="U22" s="1860" t="s">
        <v>2041</v>
      </c>
      <c r="V22" s="1861"/>
      <c r="Z22" s="68"/>
    </row>
    <row r="23" spans="1:26" ht="14.25">
      <c r="B23" s="1365" t="s">
        <v>923</v>
      </c>
      <c r="C23" s="1366" t="s">
        <v>1363</v>
      </c>
      <c r="D23" s="1367" t="s">
        <v>770</v>
      </c>
      <c r="E23" s="1366" t="s">
        <v>1363</v>
      </c>
      <c r="F23" s="1367" t="s">
        <v>770</v>
      </c>
      <c r="G23" s="1366" t="s">
        <v>1363</v>
      </c>
      <c r="H23" s="1367" t="s">
        <v>770</v>
      </c>
      <c r="I23" s="1366" t="s">
        <v>1363</v>
      </c>
      <c r="J23" s="1367" t="s">
        <v>770</v>
      </c>
      <c r="K23" s="1366" t="s">
        <v>1363</v>
      </c>
      <c r="L23" s="1367" t="s">
        <v>1342</v>
      </c>
      <c r="M23" s="1368" t="s">
        <v>1363</v>
      </c>
      <c r="N23" s="1369" t="s">
        <v>1342</v>
      </c>
      <c r="O23" s="1368" t="s">
        <v>1363</v>
      </c>
      <c r="P23" s="1369" t="s">
        <v>770</v>
      </c>
      <c r="Q23" s="1368" t="s">
        <v>1363</v>
      </c>
      <c r="R23" s="1369" t="s">
        <v>770</v>
      </c>
      <c r="S23" s="1368" t="s">
        <v>1363</v>
      </c>
      <c r="T23" s="1369" t="s">
        <v>770</v>
      </c>
      <c r="U23" s="1368" t="s">
        <v>1363</v>
      </c>
      <c r="V23" s="1369" t="s">
        <v>770</v>
      </c>
      <c r="Z23" s="68"/>
    </row>
    <row r="24" spans="1:26" ht="14.25">
      <c r="B24" s="1370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0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0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0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0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2" customFormat="1" ht="14.25">
      <c r="A37" s="826"/>
      <c r="B37" s="827">
        <f t="shared" si="2"/>
        <v>44440</v>
      </c>
      <c r="C37" s="828">
        <f>CAPA!C66</f>
        <v>2483.7200000000003</v>
      </c>
      <c r="D37" s="829">
        <f>VLOOKUP($B$48,Índices!$B$6:$F$500,VLOOKUP(D$23,$L$7:$M$9,2,FALSE)+1,FALSE)/VLOOKUP(DATE(YEAR($B37),MONTH($B37)-1,1),Índices!$B$6:$F$500,VLOOKUP(D$23,$L$7:$M$9,2,FALSE)+1,FALSE)*C37</f>
        <v>2700.4814792930629</v>
      </c>
      <c r="E37" s="830"/>
      <c r="F37" s="829">
        <f>VLOOKUP($B$48,Índices!$B$6:$F$500,VLOOKUP(F$23,$L$7:$M$9,2,FALSE)+1,FALSE)/VLOOKUP(DATE(YEAR($B37),MONTH($B37)-1,1),Índices!$B$6:$F$500,VLOOKUP(H$23,$L$7:$M$9,2,FALSE)+1,FALSE)*E37</f>
        <v>0</v>
      </c>
      <c r="G37" s="830">
        <f>CAPA!E66</f>
        <v>0</v>
      </c>
      <c r="H37" s="829">
        <f>VLOOKUP($B$48,Índices!$B$6:$F$500,VLOOKUP(H$23,$L$7:$M$9,2,FALSE)+1,FALSE)/VLOOKUP(DATE(YEAR($B37),MONTH($B37)-1,1),Índices!$B$6:$F$500,VLOOKUP(H$23,$L$7:$M$9,2,FALSE)+1,FALSE)*G37</f>
        <v>0</v>
      </c>
      <c r="I37" s="831">
        <f>IFERROR(HLOOKUP(B37,'Rede Básica + Ajuste'!$E$70:$P$71,2,FALSE),0)</f>
        <v>0</v>
      </c>
      <c r="J37" s="831">
        <f>VLOOKUP($B$48,Índices!$B$6:$F$500,VLOOKUP(J$23,$L$7:$M$9,2,FALSE)+1,FALSE)/VLOOKUP(DATE(YEAR($B37),MONTH($B37)-1,1),Índices!$B$6:$F$500,VLOOKUP(J$23,$L$7:$M$9,2,FALSE)+1,FALSE)*I37</f>
        <v>0</v>
      </c>
      <c r="K37" s="830">
        <f>CAPA!H66</f>
        <v>0</v>
      </c>
      <c r="L37" s="829">
        <f>VLOOKUP($B$48,Índices!$B$6:$F$500,VLOOKUP(L$23,$L$7:$M$9,2,FALSE)+1,FALSE)/VLOOKUP(DATE(YEAR($B37),MONTH($B37)-1,1),Índices!$B$6:$F$500,VLOOKUP(L$23,$L$7:$M$9,2,FALSE)+1,FALSE)*K37</f>
        <v>0</v>
      </c>
      <c r="M37" s="830">
        <f>CVE!$I$14/12</f>
        <v>0</v>
      </c>
      <c r="N37" s="829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29">
        <f>VLOOKUP($B$48,Índices!$B$6:$F$500,VLOOKUP(P$23,$L$7:$M$9,2,FALSE)+1,FALSE)/VLOOKUP(DATE(YEAR($B37),MONTH($B37)-1,1),Índices!$B$6:$F$500,VLOOKUP(P$23,$L$7:$M$9,2,FALSE)+1,FALSE)*O37</f>
        <v>0</v>
      </c>
      <c r="Q37" s="830">
        <f>CAPA!D66</f>
        <v>0</v>
      </c>
      <c r="R37" s="829">
        <f>VLOOKUP($B$48,Índices!$B$6:$F$500,VLOOKUP(R$23,$L$7:$M$9,2,FALSE)+1,FALSE)/VLOOKUP(DATE(YEAR($B37),MONTH($B37)-1,1),Índices!$B$6:$F$500,VLOOKUP(R$23,$L$7:$M$9,2,FALSE)+1,FALSE)*Q37</f>
        <v>0</v>
      </c>
      <c r="S37" s="830">
        <f>'Tributos suprimento'!$B$14/12</f>
        <v>0</v>
      </c>
      <c r="T37" s="829">
        <f>VLOOKUP($B$48,Índices!$B$6:$F$500,VLOOKUP(T$23,$L$7:$M$9,2,FALSE)+1,FALSE)/VLOOKUP(DATE(YEAR($B37),MONTH($B37)-1,1),Índices!$B$6:$F$500,VLOOKUP(T$23,$L$7:$M$9,2,FALSE)+1,FALSE)*S37</f>
        <v>0</v>
      </c>
      <c r="U37" s="830">
        <f>'Tributos suprimento'!$B$13/12</f>
        <v>0</v>
      </c>
      <c r="V37" s="829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17584.009999999998</v>
      </c>
      <c r="D38" s="225">
        <f>VLOOKUP($B$48,Índices!$B$6:$F$500,VLOOKUP(D$23,$L$7:$M$9,2,FALSE)+1,FALSE)/VLOOKUP(DATE(YEAR($B38),MONTH($B38)-1,1),Índices!$B$6:$F$500,VLOOKUP(D$23,$L$7:$M$9,2,FALSE)+1,FALSE)*C38</f>
        <v>18899.391839908076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0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0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30271.480000000003</v>
      </c>
      <c r="D39" s="225">
        <f>VLOOKUP($B$48,Índices!$B$6:$F$500,VLOOKUP(D$23,$L$7:$M$9,2,FALSE)+1,FALSE)/VLOOKUP(DATE(YEAR($B39),MONTH($B39)-1,1),Índices!$B$6:$F$500,VLOOKUP(D$23,$L$7:$M$9,2,FALSE)+1,FALSE)*C39</f>
        <v>32134.290784197419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0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0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32422.89</v>
      </c>
      <c r="D40" s="225">
        <f>VLOOKUP($B$48,Índices!$B$6:$F$500,VLOOKUP(D$23,$L$7:$M$9,2,FALSE)+1,FALSE)/VLOOKUP(DATE(YEAR($B40),MONTH($B40)-1,1),Índices!$B$6:$F$500,VLOOKUP(D$23,$L$7:$M$9,2,FALSE)+1,FALSE)*C40</f>
        <v>34094.173539844858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0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0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30355.45</v>
      </c>
      <c r="D41" s="225">
        <f>VLOOKUP($B$48,Índices!$B$6:$F$500,VLOOKUP(D$23,$L$7:$M$9,2,FALSE)+1,FALSE)/VLOOKUP(DATE(YEAR($B41),MONTH($B41)-1,1),Índices!$B$6:$F$500,VLOOKUP(D$23,$L$7:$M$9,2,FALSE)+1,FALSE)*C41</f>
        <v>31688.849066591069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0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0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42099.740000000005</v>
      </c>
      <c r="D42" s="225">
        <f>VLOOKUP($B$48,Índices!$B$6:$F$500,VLOOKUP(D$23,$L$7:$M$9,2,FALSE)+1,FALSE)/VLOOKUP(DATE(YEAR($B42),MONTH($B42)-1,1),Índices!$B$6:$F$500,VLOOKUP(D$23,$L$7:$M$9,2,FALSE)+1,FALSE)*C42</f>
        <v>43712.958187479788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0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0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23609.41</v>
      </c>
      <c r="D43" s="225">
        <f>VLOOKUP($B$48,Índices!$B$6:$F$500,VLOOKUP(D$23,$L$7:$M$9,2,FALSE)+1,FALSE)/VLOOKUP(DATE(YEAR($B43),MONTH($B43)-1,1),Índices!$B$6:$F$500,VLOOKUP(D$23,$L$7:$M$9,2,FALSE)+1,FALSE)*C43</f>
        <v>24268.966486684345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0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0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28904.140000000003</v>
      </c>
      <c r="D44" s="225">
        <f>VLOOKUP($B$48,Índices!$B$6:$F$500,VLOOKUP(D$23,$L$7:$M$9,2,FALSE)+1,FALSE)/VLOOKUP(DATE(YEAR($B44),MONTH($B44)-1,1),Índices!$B$6:$F$500,VLOOKUP(D$23,$L$7:$M$9,2,FALSE)+1,FALSE)*C44</f>
        <v>29237.941668416213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0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0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18348.580000000002</v>
      </c>
      <c r="D45" s="225">
        <f>VLOOKUP($B$48,Índices!$B$6:$F$500,VLOOKUP(D$23,$L$7:$M$9,2,FALSE)+1,FALSE)/VLOOKUP(DATE(YEAR($B45),MONTH($B45)-1,1),Índices!$B$6:$F$500,VLOOKUP(D$23,$L$7:$M$9,2,FALSE)+1,FALSE)*C45</f>
        <v>18365.799185414733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0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0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29244.92</v>
      </c>
      <c r="D46" s="225">
        <f>VLOOKUP($B$48,Índices!$B$6:$F$500,VLOOKUP(D$23,$L$7:$M$9,2,FALSE)+1,FALSE)/VLOOKUP(DATE(YEAR($B46),MONTH($B46)-1,1),Índices!$B$6:$F$500,VLOOKUP(D$23,$L$7:$M$9,2,FALSE)+1,FALSE)*C46</f>
        <v>29135.426211062731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247922.10200000001</v>
      </c>
      <c r="L46" s="225">
        <f>VLOOKUP($B$48,Índices!$B$6:$F$500,VLOOKUP(L$23,$L$7:$M$9,2,FALSE)+1,FALSE)/VLOOKUP(DATE(YEAR($B46),MONTH($B46)-1,1),Índices!$B$6:$F$500,VLOOKUP(L$23,$L$7:$M$9,2,FALSE)+1,FALSE)*K46</f>
        <v>255989.7917932058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0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0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36186.879999999997</v>
      </c>
      <c r="D47" s="225">
        <f>VLOOKUP($B$48,Índices!$B$6:$F$500,VLOOKUP(D$23,$L$7:$M$9,2,FALSE)+1,FALSE)/VLOOKUP(DATE(YEAR($B47),MONTH($B47)-1,1),Índices!$B$6:$F$500,VLOOKUP(D$23,$L$7:$M$9,2,FALSE)+1,FALSE)*C47</f>
        <v>35811.438002060138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2.12</v>
      </c>
      <c r="L47" s="225">
        <f>VLOOKUP($B$48,Índices!$B$6:$F$500,VLOOKUP(L$23,$L$7:$M$9,2,FALSE)+1,FALSE)/VLOOKUP(DATE(YEAR($B47),MONTH($B47)-1,1),Índices!$B$6:$F$500,VLOOKUP(L$23,$L$7:$M$9,2,FALSE)+1,FALSE)*K47</f>
        <v>2.1669856609475877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0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0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1">
        <f>DATE(YEAR(CAPA!$C$15),MONTH(CAPA!$C$15)-1,1)</f>
        <v>44774</v>
      </c>
      <c r="C48" s="293">
        <f>CAPA!C77</f>
        <v>44971.679999999993</v>
      </c>
      <c r="D48" s="225">
        <f>VLOOKUP($B$48,Índices!$B$6:$F$500,VLOOKUP(D$23,$L$7:$M$9,2,FALSE)+1,FALSE)/VLOOKUP(DATE(YEAR($B48),MONTH($B48)-1,1),Índices!$B$6:$F$500,VLOOKUP(D$23,$L$7:$M$9,2,FALSE)+1,FALSE)*C48</f>
        <v>44809.803133461734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0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0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2">
        <f t="shared" ref="C49:P49" si="3">SUM(C25:C48)</f>
        <v>336482.9</v>
      </c>
      <c r="D49" s="1373">
        <f t="shared" si="3"/>
        <v>344859.5195844142</v>
      </c>
      <c r="E49" s="1372">
        <f t="shared" si="3"/>
        <v>0</v>
      </c>
      <c r="F49" s="1373">
        <f t="shared" si="3"/>
        <v>0</v>
      </c>
      <c r="G49" s="1372">
        <f t="shared" si="3"/>
        <v>0</v>
      </c>
      <c r="H49" s="1373">
        <f t="shared" si="3"/>
        <v>0</v>
      </c>
      <c r="I49" s="1374">
        <f>SUM(I24:I48)</f>
        <v>0</v>
      </c>
      <c r="J49" s="1374">
        <f>SUM(J24:J48)</f>
        <v>0</v>
      </c>
      <c r="K49" s="1375">
        <f t="shared" si="3"/>
        <v>247924.22200000001</v>
      </c>
      <c r="L49" s="1376">
        <f t="shared" si="3"/>
        <v>255991.95877886674</v>
      </c>
      <c r="M49" s="1377">
        <f t="shared" si="3"/>
        <v>0</v>
      </c>
      <c r="N49" s="1378">
        <f t="shared" si="3"/>
        <v>0</v>
      </c>
      <c r="O49" s="1377">
        <f t="shared" si="3"/>
        <v>0</v>
      </c>
      <c r="P49" s="1378">
        <f t="shared" si="3"/>
        <v>0</v>
      </c>
      <c r="Q49" s="1377">
        <f t="shared" ref="Q49:R49" si="4">SUM(Q25:Q48)</f>
        <v>0</v>
      </c>
      <c r="R49" s="1378">
        <f t="shared" si="4"/>
        <v>0</v>
      </c>
      <c r="S49" s="1377">
        <f>-S51</f>
        <v>0</v>
      </c>
      <c r="T49" s="1378">
        <f t="shared" ref="T49:V49" si="5">SUM(T25:T48)</f>
        <v>0</v>
      </c>
      <c r="U49" s="1377">
        <f>-S52</f>
        <v>0</v>
      </c>
      <c r="V49" s="1378">
        <f t="shared" si="5"/>
        <v>0</v>
      </c>
      <c r="Z49" s="68"/>
    </row>
    <row r="50" spans="2:30" ht="14.25">
      <c r="J50" s="68" t="s">
        <v>846</v>
      </c>
      <c r="M50" s="198"/>
      <c r="N50" s="107"/>
      <c r="S50" s="1311"/>
      <c r="T50" s="68" t="s">
        <v>1364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64" t="s">
        <v>2083</v>
      </c>
      <c r="D53" s="1865"/>
      <c r="E53" s="1864" t="s">
        <v>1365</v>
      </c>
      <c r="F53" s="1865"/>
      <c r="G53" s="1864" t="s">
        <v>1366</v>
      </c>
      <c r="H53" s="1865"/>
      <c r="I53" s="1864" t="s">
        <v>1367</v>
      </c>
      <c r="J53" s="1865"/>
      <c r="K53" s="1862" t="s">
        <v>1368</v>
      </c>
      <c r="L53" s="1863"/>
      <c r="M53" s="1864" t="s">
        <v>1369</v>
      </c>
      <c r="N53" s="1865"/>
      <c r="O53" s="1864" t="s">
        <v>2085</v>
      </c>
      <c r="P53" s="1865"/>
      <c r="Q53" s="1864" t="s">
        <v>2086</v>
      </c>
      <c r="R53" s="1865"/>
      <c r="S53" s="1864" t="s">
        <v>1370</v>
      </c>
      <c r="T53" s="1865"/>
      <c r="U53" s="1864" t="s">
        <v>1371</v>
      </c>
      <c r="V53" s="1865"/>
      <c r="W53" s="1864" t="s">
        <v>36</v>
      </c>
      <c r="X53" s="1865"/>
      <c r="Z53" s="68"/>
    </row>
    <row r="54" spans="2:30" ht="14.25">
      <c r="C54" s="1368" t="s">
        <v>1363</v>
      </c>
      <c r="D54" s="1369" t="s">
        <v>770</v>
      </c>
      <c r="E54" s="1368" t="s">
        <v>1363</v>
      </c>
      <c r="F54" s="1369" t="s">
        <v>770</v>
      </c>
      <c r="G54" s="1368" t="s">
        <v>1363</v>
      </c>
      <c r="H54" s="1369" t="s">
        <v>770</v>
      </c>
      <c r="I54" s="1368" t="s">
        <v>1363</v>
      </c>
      <c r="J54" s="1369" t="s">
        <v>770</v>
      </c>
      <c r="K54" s="1366" t="s">
        <v>1363</v>
      </c>
      <c r="L54" s="1367" t="s">
        <v>770</v>
      </c>
      <c r="M54" s="1368" t="s">
        <v>1363</v>
      </c>
      <c r="N54" s="1369" t="s">
        <v>770</v>
      </c>
      <c r="O54" s="1368" t="s">
        <v>1363</v>
      </c>
      <c r="P54" s="1369" t="s">
        <v>770</v>
      </c>
      <c r="Q54" s="1368" t="s">
        <v>1363</v>
      </c>
      <c r="R54" s="1369" t="s">
        <v>770</v>
      </c>
      <c r="S54" s="1368" t="s">
        <v>1363</v>
      </c>
      <c r="T54" s="1369" t="s">
        <v>770</v>
      </c>
      <c r="U54" s="1368" t="s">
        <v>1363</v>
      </c>
      <c r="V54" s="1369" t="s">
        <v>770</v>
      </c>
      <c r="W54" s="1368" t="s">
        <v>1363</v>
      </c>
      <c r="X54" s="1379" t="s">
        <v>1342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102.3020375746346</v>
      </c>
      <c r="H68" s="225">
        <f ca="1">VLOOKUP($B$48,Índices!$B$6:$F$500,VLOOKUP(H$54,$L$7:$M$9,2,FALSE)+1,FALSE)/VLOOKUP(DATE(YEAR($B68),MONTH($B68)-1,1),Índices!$B$6:$F$500,VLOOKUP(H$54,$L$7:$M$9,2,FALSE)+1,FALSE)*G68</f>
        <v>111.23023439205856</v>
      </c>
      <c r="I68" s="207">
        <f ca="1">Encargos!F31</f>
        <v>-1649.7791490131058</v>
      </c>
      <c r="J68" s="225">
        <f ca="1">VLOOKUP($B$48,Índices!$B$6:$F$500,VLOOKUP(J$54,$L$7:$M$9,2,FALSE)+1,FALSE)/VLOOKUP(DATE(YEAR($B68),MONTH($B68)-1,1),Índices!$B$6:$F$500,VLOOKUP(J$54,$L$7:$M$9,2,FALSE)+1,FALSE)*I68</f>
        <v>-1793.7601810323877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-442.48372175878467</v>
      </c>
      <c r="N68" s="225">
        <f ca="1">VLOOKUP($B$48,Índices!$B$6:$F$500,VLOOKUP(N$54,$L$7:$M$9,2,FALSE)+1,FALSE)/VLOOKUP(DATE(YEAR($B68),MONTH($B68)-1,1),Índices!$B$6:$F$500,VLOOKUP(N$54,$L$7:$M$9,2,FALSE)+1,FALSE)*M68</f>
        <v>-481.10056507910019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-109.6197562548432</v>
      </c>
      <c r="H69" s="225">
        <f ca="1">VLOOKUP($B$48,Índices!$B$6:$F$500,VLOOKUP(H$54,$L$7:$M$9,2,FALSE)+1,FALSE)/VLOOKUP(DATE(YEAR($B69),MONTH($B69)-1,1),Índices!$B$6:$F$500,VLOOKUP(H$54,$L$7:$M$9,2,FALSE)+1,FALSE)*G69</f>
        <v>-117.8199242866386</v>
      </c>
      <c r="I69" s="207">
        <f ca="1">Encargos!F32</f>
        <v>-5705.1948353284679</v>
      </c>
      <c r="J69" s="225">
        <f ca="1">VLOOKUP($B$48,Índices!$B$6:$F$500,VLOOKUP(J$54,$L$7:$M$9,2,FALSE)+1,FALSE)/VLOOKUP(DATE(YEAR($B69),MONTH($B69)-1,1),Índices!$B$6:$F$500,VLOOKUP(J$54,$L$7:$M$9,2,FALSE)+1,FALSE)*I69</f>
        <v>-6131.9751703901757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-997.0942061490714</v>
      </c>
      <c r="N69" s="225">
        <f ca="1">VLOOKUP($B$48,Índices!$B$6:$F$500,VLOOKUP(N$54,$L$7:$M$9,2,FALSE)+1,FALSE)/VLOOKUP(DATE(YEAR($B69),MONTH($B69)-1,1),Índices!$B$6:$F$500,VLOOKUP(N$54,$L$7:$M$9,2,FALSE)+1,FALSE)*M69</f>
        <v>-1071.6824036902494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33.658520670814141</v>
      </c>
      <c r="H70" s="225">
        <f ca="1">VLOOKUP($B$48,Índices!$B$6:$F$500,VLOOKUP(H$54,$L$7:$M$9,2,FALSE)+1,FALSE)/VLOOKUP(DATE(YEAR($B70),MONTH($B70)-1,1),Índices!$B$6:$F$500,VLOOKUP(H$54,$L$7:$M$9,2,FALSE)+1,FALSE)*G70</f>
        <v>35.729759185935443</v>
      </c>
      <c r="I70" s="207">
        <f ca="1">Encargos!F33</f>
        <v>-2247.6919657683757</v>
      </c>
      <c r="J70" s="225">
        <f ca="1">VLOOKUP($B$48,Índices!$B$6:$F$500,VLOOKUP(J$54,$L$7:$M$9,2,FALSE)+1,FALSE)/VLOOKUP(DATE(YEAR($B70),MONTH($B70)-1,1),Índices!$B$6:$F$500,VLOOKUP(J$54,$L$7:$M$9,2,FALSE)+1,FALSE)*I70</f>
        <v>-2386.007794178061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-484.93325083364471</v>
      </c>
      <c r="N70" s="225">
        <f ca="1">VLOOKUP($B$48,Índices!$B$6:$F$500,VLOOKUP(N$54,$L$7:$M$9,2,FALSE)+1,FALSE)/VLOOKUP(DATE(YEAR($B70),MONTH($B70)-1,1),Índices!$B$6:$F$500,VLOOKUP(N$54,$L$7:$M$9,2,FALSE)+1,FALSE)*M70</f>
        <v>-514.77450369834844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344.28672556400124</v>
      </c>
      <c r="H71" s="225">
        <f ca="1">VLOOKUP($B$48,Índices!$B$6:$F$500,VLOOKUP(H$54,$L$7:$M$9,2,FALSE)+1,FALSE)/VLOOKUP(DATE(YEAR($B71),MONTH($B71)-1,1),Índices!$B$6:$F$500,VLOOKUP(H$54,$L$7:$M$9,2,FALSE)+1,FALSE)*G71</f>
        <v>362.03346983701942</v>
      </c>
      <c r="I71" s="207">
        <f ca="1">Encargos!F34</f>
        <v>15057.95383242669</v>
      </c>
      <c r="J71" s="225">
        <f ca="1">VLOOKUP($B$48,Índices!$B$6:$F$500,VLOOKUP(J$54,$L$7:$M$9,2,FALSE)+1,FALSE)/VLOOKUP(DATE(YEAR($B71),MONTH($B71)-1,1),Índices!$B$6:$F$500,VLOOKUP(J$54,$L$7:$M$9,2,FALSE)+1,FALSE)*I71</f>
        <v>15834.13727516972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2544.0584953868129</v>
      </c>
      <c r="N71" s="225">
        <f ca="1">VLOOKUP($B$48,Índices!$B$6:$F$500,VLOOKUP(N$54,$L$7:$M$9,2,FALSE)+1,FALSE)/VLOOKUP(DATE(YEAR($B71),MONTH($B71)-1,1),Índices!$B$6:$F$500,VLOOKUP(N$54,$L$7:$M$9,2,FALSE)+1,FALSE)*M71</f>
        <v>2675.1955743992776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11.414689626883046</v>
      </c>
      <c r="H72" s="225">
        <f ca="1">VLOOKUP($B$48,Índices!$B$6:$F$500,VLOOKUP(H$54,$L$7:$M$9,2,FALSE)+1,FALSE)/VLOOKUP(DATE(YEAR($B72),MONTH($B72)-1,1),Índices!$B$6:$F$500,VLOOKUP(H$54,$L$7:$M$9,2,FALSE)+1,FALSE)*G72</f>
        <v>11.91609337790346</v>
      </c>
      <c r="I72" s="207">
        <f ca="1">Encargos!F35</f>
        <v>2430.0791330161446</v>
      </c>
      <c r="J72" s="225">
        <f ca="1">VLOOKUP($B$48,Índices!$B$6:$F$500,VLOOKUP(J$54,$L$7:$M$9,2,FALSE)+1,FALSE)/VLOOKUP(DATE(YEAR($B72),MONTH($B72)-1,1),Índices!$B$6:$F$500,VLOOKUP(J$54,$L$7:$M$9,2,FALSE)+1,FALSE)*I72</f>
        <v>2536.8232349057939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448.9149838191006</v>
      </c>
      <c r="N72" s="225">
        <f ca="1">VLOOKUP($B$48,Índices!$B$6:$F$500,VLOOKUP(N$54,$L$7:$M$9,2,FALSE)+1,FALSE)/VLOOKUP(DATE(YEAR($B72),MONTH($B72)-1,1),Índices!$B$6:$F$500,VLOOKUP(N$54,$L$7:$M$9,2,FALSE)+1,FALSE)*M72</f>
        <v>468.63410576929846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-343.09999432307814</v>
      </c>
      <c r="H73" s="225">
        <f ca="1">VLOOKUP($B$48,Índices!$B$6:$F$500,VLOOKUP(H$54,$L$7:$M$9,2,FALSE)+1,FALSE)/VLOOKUP(DATE(YEAR($B73),MONTH($B73)-1,1),Índices!$B$6:$F$500,VLOOKUP(H$54,$L$7:$M$9,2,FALSE)+1,FALSE)*G73</f>
        <v>-356.24722874700097</v>
      </c>
      <c r="I73" s="207">
        <f ca="1">Encargos!F36</f>
        <v>-4017.389117576764</v>
      </c>
      <c r="J73" s="225">
        <f ca="1">VLOOKUP($B$48,Índices!$B$6:$F$500,VLOOKUP(J$54,$L$7:$M$9,2,FALSE)+1,FALSE)/VLOOKUP(DATE(YEAR($B73),MONTH($B73)-1,1),Índices!$B$6:$F$500,VLOOKUP(J$54,$L$7:$M$9,2,FALSE)+1,FALSE)*I73</f>
        <v>-4171.3312842186051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-411.65958577174752</v>
      </c>
      <c r="N73" s="225">
        <f ca="1">VLOOKUP($B$48,Índices!$B$6:$F$500,VLOOKUP(N$54,$L$7:$M$9,2,FALSE)+1,FALSE)/VLOOKUP(DATE(YEAR($B73),MONTH($B73)-1,1),Índices!$B$6:$F$500,VLOOKUP(N$54,$L$7:$M$9,2,FALSE)+1,FALSE)*M73</f>
        <v>-427.43395233119367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-515.94526822485477</v>
      </c>
      <c r="H74" s="225">
        <f ca="1">VLOOKUP($B$48,Índices!$B$6:$F$500,VLOOKUP(H$54,$L$7:$M$9,2,FALSE)+1,FALSE)/VLOOKUP(DATE(YEAR($B74),MONTH($B74)-1,1),Índices!$B$6:$F$500,VLOOKUP(H$54,$L$7:$M$9,2,FALSE)+1,FALSE)*G74</f>
        <v>-530.35880284650761</v>
      </c>
      <c r="I74" s="207">
        <f ca="1">Encargos!F37</f>
        <v>-24355.671165771375</v>
      </c>
      <c r="J74" s="225">
        <f ca="1">VLOOKUP($B$48,Índices!$B$6:$F$500,VLOOKUP(J$54,$L$7:$M$9,2,FALSE)+1,FALSE)/VLOOKUP(DATE(YEAR($B74),MONTH($B74)-1,1),Índices!$B$6:$F$500,VLOOKUP(J$54,$L$7:$M$9,2,FALSE)+1,FALSE)*I74</f>
        <v>-25036.075331099324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-4194.6833238429681</v>
      </c>
      <c r="N74" s="225">
        <f ca="1">VLOOKUP($B$48,Índices!$B$6:$F$500,VLOOKUP(N$54,$L$7:$M$9,2,FALSE)+1,FALSE)/VLOOKUP(DATE(YEAR($B74),MONTH($B74)-1,1),Índices!$B$6:$F$500,VLOOKUP(N$54,$L$7:$M$9,2,FALSE)+1,FALSE)*M74</f>
        <v>-4311.8667094433404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65.757721549528469</v>
      </c>
      <c r="H75" s="225">
        <f ca="1">VLOOKUP($B$48,Índices!$B$6:$F$500,VLOOKUP(H$54,$L$7:$M$9,2,FALSE)+1,FALSE)/VLOOKUP(DATE(YEAR($B75),MONTH($B75)-1,1),Índices!$B$6:$F$500,VLOOKUP(H$54,$L$7:$M$9,2,FALSE)+1,FALSE)*G75</f>
        <v>66.517129619254163</v>
      </c>
      <c r="I75" s="207">
        <f ca="1">Encargos!F38</f>
        <v>1545.7283727524919</v>
      </c>
      <c r="J75" s="225">
        <f ca="1">VLOOKUP($B$48,Índices!$B$6:$F$500,VLOOKUP(J$54,$L$7:$M$9,2,FALSE)+1,FALSE)/VLOOKUP(DATE(YEAR($B75),MONTH($B75)-1,1),Índices!$B$6:$F$500,VLOOKUP(J$54,$L$7:$M$9,2,FALSE)+1,FALSE)*I75</f>
        <v>1563.5793349241067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203.70331708612503</v>
      </c>
      <c r="N75" s="225">
        <f ca="1">VLOOKUP($B$48,Índices!$B$6:$F$500,VLOOKUP(N$54,$L$7:$M$9,2,FALSE)+1,FALSE)/VLOOKUP(DATE(YEAR($B75),MONTH($B75)-1,1),Índices!$B$6:$F$500,VLOOKUP(N$54,$L$7:$M$9,2,FALSE)+1,FALSE)*M75</f>
        <v>206.05580040184606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57.21243801381388</v>
      </c>
      <c r="H76" s="225">
        <f ca="1">VLOOKUP($B$48,Índices!$B$6:$F$500,VLOOKUP(H$54,$L$7:$M$9,2,FALSE)+1,FALSE)/VLOOKUP(DATE(YEAR($B76),MONTH($B76)-1,1),Índices!$B$6:$F$500,VLOOKUP(H$54,$L$7:$M$9,2,FALSE)+1,FALSE)*G76</f>
        <v>57.266128903146388</v>
      </c>
      <c r="I76" s="207">
        <f ca="1">Encargos!F39</f>
        <v>-3364.151475878316</v>
      </c>
      <c r="J76" s="225">
        <f ca="1">VLOOKUP($B$48,Índices!$B$6:$F$500,VLOOKUP(J$54,$L$7:$M$9,2,FALSE)+1,FALSE)/VLOOKUP(DATE(YEAR($B76),MONTH($B76)-1,1),Índices!$B$6:$F$500,VLOOKUP(J$54,$L$7:$M$9,2,FALSE)+1,FALSE)*I76</f>
        <v>-3367.3085565911774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-754.060065691403</v>
      </c>
      <c r="N76" s="225">
        <f ca="1">VLOOKUP($B$48,Índices!$B$6:$F$500,VLOOKUP(N$54,$L$7:$M$9,2,FALSE)+1,FALSE)/VLOOKUP(DATE(YEAR($B76),MONTH($B76)-1,1),Índices!$B$6:$F$500,VLOOKUP(N$54,$L$7:$M$9,2,FALSE)+1,FALSE)*M76</f>
        <v>-754.76771173730879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-283.01407419853695</v>
      </c>
      <c r="H77" s="225">
        <f ca="1">VLOOKUP($B$48,Índices!$B$6:$F$500,VLOOKUP(H$54,$L$7:$M$9,2,FALSE)+1,FALSE)/VLOOKUP(DATE(YEAR($B77),MONTH($B77)-1,1),Índices!$B$6:$F$500,VLOOKUP(H$54,$L$7:$M$9,2,FALSE)+1,FALSE)*G77</f>
        <v>-281.95446168099306</v>
      </c>
      <c r="I77" s="207">
        <f ca="1">Encargos!F40</f>
        <v>-10964.815290584433</v>
      </c>
      <c r="J77" s="225">
        <f ca="1">VLOOKUP($B$48,Índices!$B$6:$F$500,VLOOKUP(J$54,$L$7:$M$9,2,FALSE)+1,FALSE)/VLOOKUP(DATE(YEAR($B77),MONTH($B77)-1,1),Índices!$B$6:$F$500,VLOOKUP(J$54,$L$7:$M$9,2,FALSE)+1,FALSE)*I77</f>
        <v>-10923.762719021121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-1856.5809536248416</v>
      </c>
      <c r="N77" s="225">
        <f ca="1">VLOOKUP($B$48,Índices!$B$6:$F$500,VLOOKUP(N$54,$L$7:$M$9,2,FALSE)+1,FALSE)/VLOOKUP(DATE(YEAR($B77),MONTH($B77)-1,1),Índices!$B$6:$F$500,VLOOKUP(N$54,$L$7:$M$9,2,FALSE)+1,FALSE)*M77</f>
        <v>-1849.6298632104672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4.9494125999372045</v>
      </c>
      <c r="H78" s="225">
        <f ca="1">VLOOKUP($B$48,Índices!$B$6:$F$500,VLOOKUP(H$54,$L$7:$M$9,2,FALSE)+1,FALSE)/VLOOKUP(DATE(YEAR($B78),MONTH($B78)-1,1),Índices!$B$6:$F$500,VLOOKUP(H$54,$L$7:$M$9,2,FALSE)+1,FALSE)*G78</f>
        <v>4.8980620177607603</v>
      </c>
      <c r="I78" s="207">
        <f ca="1">Encargos!F41</f>
        <v>2128.1069057273853</v>
      </c>
      <c r="J78" s="225">
        <f ca="1">VLOOKUP($B$48,Índices!$B$6:$F$500,VLOOKUP(J$54,$L$7:$M$9,2,FALSE)+1,FALSE)/VLOOKUP(DATE(YEAR($B78),MONTH($B78)-1,1),Índices!$B$6:$F$500,VLOOKUP(J$54,$L$7:$M$9,2,FALSE)+1,FALSE)*I78</f>
        <v>2106.0276132181693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386.96746666108083</v>
      </c>
      <c r="N78" s="225">
        <f ca="1">VLOOKUP($B$48,Índices!$B$6:$F$500,VLOOKUP(N$54,$L$7:$M$9,2,FALSE)+1,FALSE)/VLOOKUP(DATE(YEAR($B78),MONTH($B78)-1,1),Índices!$B$6:$F$500,VLOOKUP(N$54,$L$7:$M$9,2,FALSE)+1,FALSE)*M78</f>
        <v>382.95264585251817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4.9494125999372045</v>
      </c>
      <c r="H79" s="225">
        <f ca="1">VLOOKUP($B$48,Índices!$B$6:$F$500,VLOOKUP(H$54,$L$7:$M$9,2,FALSE)+1,FALSE)/VLOOKUP(DATE(YEAR($B79),MONTH($B79)-1,1),Índices!$B$6:$F$500,VLOOKUP(H$54,$L$7:$M$9,2,FALSE)+1,FALSE)*G79</f>
        <v>4.9315970457288048</v>
      </c>
      <c r="I79" s="207">
        <f ca="1">Encargos!F42</f>
        <v>2128.1069057273853</v>
      </c>
      <c r="J79" s="225">
        <f ca="1">VLOOKUP($B$48,Índices!$B$6:$F$500,VLOOKUP(J$54,$L$7:$M$9,2,FALSE)+1,FALSE)/VLOOKUP(DATE(YEAR($B79),MONTH($B79)-1,1),Índices!$B$6:$F$500,VLOOKUP(J$54,$L$7:$M$9,2,FALSE)+1,FALSE)*I79</f>
        <v>2120.4467231956769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386.96746666108083</v>
      </c>
      <c r="N79" s="225">
        <f ca="1">VLOOKUP($B$48,Índices!$B$6:$F$500,VLOOKUP(N$54,$L$7:$M$9,2,FALSE)+1,FALSE)/VLOOKUP(DATE(YEAR($B79),MONTH($B79)-1,1),Índices!$B$6:$F$500,VLOOKUP(N$54,$L$7:$M$9,2,FALSE)+1,FALSE)*M79</f>
        <v>385.57456604106073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77">
        <f ca="1">SUM(C56:C79)</f>
        <v>0</v>
      </c>
      <c r="D80" s="1378">
        <f ca="1">SUM(D56:D79)</f>
        <v>0</v>
      </c>
      <c r="E80" s="1377">
        <f ca="1">SUM(E56:E79)</f>
        <v>0</v>
      </c>
      <c r="F80" s="1378">
        <f ca="1">SUM(F56:F79)</f>
        <v>0</v>
      </c>
      <c r="G80" s="1377">
        <f ca="1">SUM(G55:G79)</f>
        <v>-627.14813480176326</v>
      </c>
      <c r="H80" s="1377">
        <f t="shared" ref="H80:N80" ca="1" si="7">SUM(H55:H79)</f>
        <v>-631.8579431823332</v>
      </c>
      <c r="I80" s="1377">
        <f t="shared" ca="1" si="7"/>
        <v>-29014.717850270739</v>
      </c>
      <c r="J80" s="1377">
        <f t="shared" ca="1" si="7"/>
        <v>-29649.206855117383</v>
      </c>
      <c r="K80" s="1377">
        <f t="shared" ca="1" si="7"/>
        <v>0</v>
      </c>
      <c r="L80" s="1377">
        <f t="shared" ca="1" si="7"/>
        <v>0</v>
      </c>
      <c r="M80" s="1377">
        <f t="shared" ca="1" si="7"/>
        <v>-5170.8833780582609</v>
      </c>
      <c r="N80" s="1377">
        <f t="shared" ca="1" si="7"/>
        <v>-5292.8430167260067</v>
      </c>
      <c r="O80" s="1377">
        <f t="shared" ref="O80:R80" ca="1" si="8">SUM(O55:O79)</f>
        <v>0</v>
      </c>
      <c r="P80" s="1377">
        <f t="shared" ca="1" si="8"/>
        <v>0</v>
      </c>
      <c r="Q80" s="1377">
        <f t="shared" ca="1" si="8"/>
        <v>0</v>
      </c>
      <c r="R80" s="1377">
        <f t="shared" ca="1" si="8"/>
        <v>0</v>
      </c>
      <c r="S80" s="1377">
        <f t="shared" ref="S80:X80" si="9">SUM(S55:S79)</f>
        <v>0</v>
      </c>
      <c r="T80" s="1377">
        <f t="shared" si="9"/>
        <v>0</v>
      </c>
      <c r="U80" s="1377">
        <f t="shared" si="9"/>
        <v>0</v>
      </c>
      <c r="V80" s="1380">
        <f t="shared" si="9"/>
        <v>0</v>
      </c>
      <c r="W80" s="1377">
        <f t="shared" si="9"/>
        <v>0</v>
      </c>
      <c r="X80" s="1380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D11:E11 G11:J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1372</v>
      </c>
      <c r="C1" s="9" t="s">
        <v>1373</v>
      </c>
      <c r="D1" s="9" t="s">
        <v>1374</v>
      </c>
      <c r="E1" s="233" t="s">
        <v>1375</v>
      </c>
      <c r="F1" s="233" t="s">
        <v>1376</v>
      </c>
      <c r="G1" s="233" t="s">
        <v>1377</v>
      </c>
      <c r="H1" s="233" t="s">
        <v>1378</v>
      </c>
      <c r="I1" s="9" t="s">
        <v>192</v>
      </c>
      <c r="J1" s="9" t="s">
        <v>1379</v>
      </c>
      <c r="K1" s="9" t="s">
        <v>1380</v>
      </c>
      <c r="L1" s="9" t="s">
        <v>1381</v>
      </c>
      <c r="M1" s="9" t="s">
        <v>1382</v>
      </c>
      <c r="N1" s="9" t="s">
        <v>959</v>
      </c>
      <c r="O1" s="9" t="s">
        <v>873</v>
      </c>
      <c r="P1" s="9" t="s">
        <v>1383</v>
      </c>
      <c r="Q1" s="8" t="s">
        <v>867</v>
      </c>
      <c r="R1" s="17" t="s">
        <v>1384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1373</v>
      </c>
      <c r="B1" t="s">
        <v>958</v>
      </c>
      <c r="C1" t="s">
        <v>1385</v>
      </c>
      <c r="D1" t="s">
        <v>877</v>
      </c>
      <c r="E1" t="s">
        <v>1386</v>
      </c>
      <c r="F1" t="s">
        <v>58</v>
      </c>
      <c r="G1" t="s">
        <v>524</v>
      </c>
      <c r="H1" t="s">
        <v>959</v>
      </c>
      <c r="I1" t="s">
        <v>108</v>
      </c>
      <c r="J1" t="s">
        <v>1377</v>
      </c>
      <c r="K1" t="s">
        <v>1387</v>
      </c>
      <c r="L1" t="s">
        <v>1388</v>
      </c>
      <c r="M1" t="s">
        <v>1389</v>
      </c>
      <c r="N1" t="s">
        <v>969</v>
      </c>
      <c r="O1" t="s">
        <v>1390</v>
      </c>
      <c r="P1" t="s">
        <v>1391</v>
      </c>
      <c r="Q1" t="s">
        <v>1392</v>
      </c>
      <c r="R1" t="s">
        <v>1393</v>
      </c>
      <c r="S1" t="s">
        <v>192</v>
      </c>
      <c r="T1" t="s">
        <v>1394</v>
      </c>
      <c r="U1" t="s">
        <v>1395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1" t="s">
        <v>1396</v>
      </c>
      <c r="D2" s="3" t="s">
        <v>1397</v>
      </c>
    </row>
    <row r="3" spans="2:15">
      <c r="B3" s="5"/>
    </row>
    <row r="6" spans="2:15">
      <c r="B6" s="1382" t="s">
        <v>1398</v>
      </c>
      <c r="C6" s="1382" t="s">
        <v>1399</v>
      </c>
      <c r="D6" s="1382" t="s">
        <v>770</v>
      </c>
      <c r="E6" s="6" t="s">
        <v>1400</v>
      </c>
      <c r="F6" s="6" t="s">
        <v>1401</v>
      </c>
      <c r="G6" s="1383" t="s">
        <v>1402</v>
      </c>
      <c r="K6" s="1461" t="s">
        <v>2122</v>
      </c>
      <c r="L6" s="1462" t="s">
        <v>37</v>
      </c>
      <c r="M6" s="1463" t="s">
        <v>2123</v>
      </c>
      <c r="N6" s="1462" t="s">
        <v>1318</v>
      </c>
      <c r="O6" s="1464" t="s">
        <v>2124</v>
      </c>
    </row>
    <row r="7" spans="2:15">
      <c r="B7" s="1384">
        <v>32629</v>
      </c>
      <c r="C7" s="1385">
        <v>2.5789999999999999E-5</v>
      </c>
      <c r="D7" s="1385">
        <v>3.4132578959999998E-4</v>
      </c>
      <c r="E7" s="1385">
        <v>0</v>
      </c>
      <c r="F7" s="1385">
        <v>1</v>
      </c>
      <c r="K7" s="1465">
        <v>42064</v>
      </c>
      <c r="L7" s="1466"/>
      <c r="M7" s="1467">
        <v>0</v>
      </c>
      <c r="N7" s="1468">
        <v>1</v>
      </c>
      <c r="O7" s="1468">
        <v>1</v>
      </c>
    </row>
    <row r="8" spans="2:15">
      <c r="B8" s="1384">
        <v>32660</v>
      </c>
      <c r="C8" s="1385">
        <v>3.0859999999999999E-5</v>
      </c>
      <c r="D8" s="1385">
        <v>4.3911559890000003E-4</v>
      </c>
      <c r="E8" s="1385">
        <v>0</v>
      </c>
      <c r="F8" s="1385">
        <v>1</v>
      </c>
      <c r="G8" s="10"/>
      <c r="K8" s="1465">
        <v>42065</v>
      </c>
      <c r="L8" s="1466" t="s">
        <v>2125</v>
      </c>
      <c r="M8" s="1467">
        <v>4.5512999999999998E-2</v>
      </c>
      <c r="N8" s="1468">
        <v>1.00045513</v>
      </c>
      <c r="O8" s="1468">
        <v>1.00045513</v>
      </c>
    </row>
    <row r="9" spans="2:15">
      <c r="B9" s="1384">
        <v>32690</v>
      </c>
      <c r="C9" s="1385">
        <v>4.1940000000000002E-5</v>
      </c>
      <c r="D9" s="1385">
        <v>5.6092617030000002E-4</v>
      </c>
      <c r="E9" s="1385">
        <v>0</v>
      </c>
      <c r="F9" s="1385">
        <v>1</v>
      </c>
      <c r="K9" s="1465">
        <v>42066</v>
      </c>
      <c r="L9" s="1466" t="s">
        <v>2125</v>
      </c>
      <c r="M9" s="1467">
        <v>4.5512999999999998E-2</v>
      </c>
      <c r="N9" s="1468">
        <v>1.0009104671433169</v>
      </c>
      <c r="O9" s="1468">
        <v>1.0009104671433169</v>
      </c>
    </row>
    <row r="10" spans="2:15">
      <c r="B10" s="1384">
        <v>32721</v>
      </c>
      <c r="C10" s="1385">
        <v>5.7429999999999997E-5</v>
      </c>
      <c r="D10" s="1385">
        <v>7.5001448160000002E-4</v>
      </c>
      <c r="E10" s="1385">
        <v>0</v>
      </c>
      <c r="F10" s="1385">
        <v>1</v>
      </c>
      <c r="K10" s="1465">
        <v>42067</v>
      </c>
      <c r="L10" s="1466" t="s">
        <v>2125</v>
      </c>
      <c r="M10" s="1467">
        <v>4.5512999999999998E-2</v>
      </c>
      <c r="N10" s="1468">
        <v>1.0013660115242278</v>
      </c>
      <c r="O10" s="1468">
        <v>1.0013660115242278</v>
      </c>
    </row>
    <row r="11" spans="2:15">
      <c r="B11" s="1384">
        <v>32752</v>
      </c>
      <c r="C11" s="1385">
        <v>8.0350000000000001E-5</v>
      </c>
      <c r="D11" s="1385">
        <v>1.031719911E-3</v>
      </c>
      <c r="E11" s="1385">
        <v>0</v>
      </c>
      <c r="F11" s="1385">
        <v>1</v>
      </c>
      <c r="K11" s="1465">
        <v>42068</v>
      </c>
      <c r="L11" s="1466" t="s">
        <v>2125</v>
      </c>
      <c r="M11" s="1467">
        <v>4.7279000000000002E-2</v>
      </c>
      <c r="N11" s="1468">
        <v>1.0018394473608161</v>
      </c>
      <c r="O11" s="1468">
        <v>1.0018394473608161</v>
      </c>
    </row>
    <row r="12" spans="2:15">
      <c r="B12" s="1384">
        <v>32782</v>
      </c>
      <c r="C12" s="1385">
        <v>1.13E-4</v>
      </c>
      <c r="D12" s="1385">
        <v>1.4420348808E-3</v>
      </c>
      <c r="E12" s="1385">
        <v>0</v>
      </c>
      <c r="F12" s="1385">
        <v>1</v>
      </c>
      <c r="K12" s="1465">
        <v>42069</v>
      </c>
      <c r="L12" s="1466" t="s">
        <v>2125</v>
      </c>
      <c r="M12" s="1467">
        <v>4.7279000000000002E-2</v>
      </c>
      <c r="N12" s="1468">
        <v>1.0023131070331337</v>
      </c>
      <c r="O12" s="1468">
        <v>1.0023131070331337</v>
      </c>
    </row>
    <row r="13" spans="2:15">
      <c r="B13" s="1384">
        <v>32813</v>
      </c>
      <c r="C13" s="1385">
        <v>1.5873999999999999E-4</v>
      </c>
      <c r="D13" s="1385">
        <v>2.1316159802999999E-3</v>
      </c>
      <c r="E13" s="1385">
        <v>0</v>
      </c>
      <c r="F13" s="1385">
        <v>1</v>
      </c>
      <c r="K13" s="1465">
        <v>42070</v>
      </c>
      <c r="L13" s="1466"/>
      <c r="M13" s="1467">
        <v>0</v>
      </c>
      <c r="N13" s="1468">
        <v>1.0023131070331337</v>
      </c>
      <c r="O13" s="1468">
        <v>1.0023131070331337</v>
      </c>
    </row>
    <row r="14" spans="2:15">
      <c r="B14" s="1384">
        <v>32843</v>
      </c>
      <c r="C14" s="1385">
        <v>2.3356000000000001E-4</v>
      </c>
      <c r="D14" s="1385">
        <v>3.2293981927000001E-3</v>
      </c>
      <c r="E14" s="1385">
        <v>0</v>
      </c>
      <c r="F14" s="1385">
        <v>1</v>
      </c>
      <c r="K14" s="1465">
        <v>42071</v>
      </c>
      <c r="L14" s="1466"/>
      <c r="M14" s="1467">
        <v>0</v>
      </c>
      <c r="N14" s="1468">
        <v>1.0023131070331337</v>
      </c>
      <c r="O14" s="1468">
        <v>1.0023131070331337</v>
      </c>
    </row>
    <row r="15" spans="2:15">
      <c r="B15" s="1384">
        <v>32874</v>
      </c>
      <c r="C15" s="1385">
        <v>3.7711E-4</v>
      </c>
      <c r="D15" s="1385">
        <v>5.4108567453999999E-3</v>
      </c>
      <c r="E15" s="1385">
        <v>0</v>
      </c>
      <c r="F15" s="1385">
        <v>1</v>
      </c>
      <c r="K15" s="1465">
        <v>42072</v>
      </c>
      <c r="L15" s="1466" t="s">
        <v>2125</v>
      </c>
      <c r="M15" s="1467">
        <v>4.7279000000000002E-2</v>
      </c>
      <c r="N15" s="1468">
        <v>1.0027869906470077</v>
      </c>
      <c r="O15" s="1468">
        <v>1.0027869906470077</v>
      </c>
    </row>
    <row r="16" spans="2:15">
      <c r="B16" s="1384">
        <v>32905</v>
      </c>
      <c r="C16" s="1385">
        <v>6.8364999999999995E-4</v>
      </c>
      <c r="D16" s="1385">
        <v>9.5084984832999996E-3</v>
      </c>
      <c r="E16" s="1385">
        <v>0</v>
      </c>
      <c r="F16" s="1385">
        <v>1</v>
      </c>
      <c r="K16" s="1465">
        <v>42073</v>
      </c>
      <c r="L16" s="1466" t="s">
        <v>2125</v>
      </c>
      <c r="M16" s="1467">
        <v>4.7279000000000002E-2</v>
      </c>
      <c r="N16" s="1468">
        <v>1.0032610983083157</v>
      </c>
      <c r="O16" s="1468">
        <v>1.0032610983083157</v>
      </c>
    </row>
    <row r="17" spans="2:15">
      <c r="B17" s="1384">
        <v>32933</v>
      </c>
      <c r="C17" s="1385">
        <v>1.2575500000000001E-3</v>
      </c>
      <c r="D17" s="1385">
        <v>1.7342550351000002E-2</v>
      </c>
      <c r="E17" s="1385">
        <v>0</v>
      </c>
      <c r="F17" s="1385">
        <v>1</v>
      </c>
      <c r="K17" s="1465">
        <v>42074</v>
      </c>
      <c r="L17" s="1466" t="s">
        <v>2125</v>
      </c>
      <c r="M17" s="1467">
        <v>4.7279000000000002E-2</v>
      </c>
      <c r="N17" s="1468">
        <v>1.0037354301229848</v>
      </c>
      <c r="O17" s="1468">
        <v>1.0037354301229848</v>
      </c>
    </row>
    <row r="18" spans="2:15">
      <c r="B18" s="1384">
        <v>32964</v>
      </c>
      <c r="C18" s="1385">
        <v>1.61407E-3</v>
      </c>
      <c r="D18" s="1385">
        <v>2.00341140678E-2</v>
      </c>
      <c r="E18" s="1385">
        <v>0</v>
      </c>
      <c r="F18" s="1385">
        <v>1</v>
      </c>
      <c r="K18" s="1465">
        <v>42075</v>
      </c>
      <c r="L18" s="1466" t="s">
        <v>2125</v>
      </c>
      <c r="M18" s="1467">
        <v>4.7279000000000002E-2</v>
      </c>
      <c r="N18" s="1468">
        <v>1.0042099861969926</v>
      </c>
      <c r="O18" s="1468">
        <v>1.0042099861969926</v>
      </c>
    </row>
    <row r="19" spans="2:15">
      <c r="B19" s="1384">
        <v>32994</v>
      </c>
      <c r="C19" s="1385">
        <v>1.70973E-3</v>
      </c>
      <c r="D19" s="1385">
        <v>2.1554703244099999E-2</v>
      </c>
      <c r="E19" s="1385">
        <v>0</v>
      </c>
      <c r="F19" s="1385">
        <v>1</v>
      </c>
      <c r="K19" s="1465">
        <v>42076</v>
      </c>
      <c r="L19" s="1466" t="s">
        <v>2125</v>
      </c>
      <c r="M19" s="1467">
        <v>4.7279000000000002E-2</v>
      </c>
      <c r="N19" s="1468">
        <v>1.0046847666363665</v>
      </c>
      <c r="O19" s="1468">
        <v>1.0046847666363665</v>
      </c>
    </row>
    <row r="20" spans="2:15">
      <c r="B20" s="1384">
        <v>33025</v>
      </c>
      <c r="C20" s="1385">
        <v>1.87962E-3</v>
      </c>
      <c r="D20" s="1385">
        <v>2.4087380951899998E-2</v>
      </c>
      <c r="E20" s="1385">
        <v>0</v>
      </c>
      <c r="F20" s="1385">
        <v>1</v>
      </c>
      <c r="K20" s="1465">
        <v>42077</v>
      </c>
      <c r="L20" s="1466"/>
      <c r="M20" s="1467">
        <v>0</v>
      </c>
      <c r="N20" s="1468">
        <v>1.0046847666363665</v>
      </c>
      <c r="O20" s="1468">
        <v>1.0046847666363665</v>
      </c>
    </row>
    <row r="21" spans="2:15">
      <c r="B21" s="1384">
        <v>33055</v>
      </c>
      <c r="C21" s="1385">
        <v>2.10539E-3</v>
      </c>
      <c r="D21" s="1385">
        <v>2.7199470492E-2</v>
      </c>
      <c r="E21" s="1385">
        <v>0</v>
      </c>
      <c r="F21" s="1385">
        <v>1</v>
      </c>
      <c r="K21" s="1465">
        <v>42078</v>
      </c>
      <c r="L21" s="1466"/>
      <c r="M21" s="1467">
        <v>0</v>
      </c>
      <c r="N21" s="1468">
        <v>1.0046847666363665</v>
      </c>
      <c r="O21" s="1468">
        <v>1.0046847666363665</v>
      </c>
    </row>
    <row r="22" spans="2:15">
      <c r="B22" s="1384">
        <v>33086</v>
      </c>
      <c r="C22" s="1385">
        <v>2.39215E-3</v>
      </c>
      <c r="D22" s="1385">
        <v>3.0702762318699998E-2</v>
      </c>
      <c r="E22" s="1385">
        <v>0</v>
      </c>
      <c r="F22" s="1385">
        <v>1</v>
      </c>
      <c r="K22" s="1465">
        <v>42079</v>
      </c>
      <c r="L22" s="1466" t="s">
        <v>2125</v>
      </c>
      <c r="M22" s="1467">
        <v>4.7279000000000002E-2</v>
      </c>
      <c r="N22" s="1468">
        <v>1.0051597715471845</v>
      </c>
      <c r="O22" s="1468">
        <v>1.0051597715471845</v>
      </c>
    </row>
    <row r="23" spans="2:15">
      <c r="B23" s="1384">
        <v>33117</v>
      </c>
      <c r="C23" s="1385">
        <v>2.6984000000000001E-3</v>
      </c>
      <c r="D23" s="1385">
        <v>3.51270304097E-2</v>
      </c>
      <c r="E23" s="1385">
        <v>0</v>
      </c>
      <c r="F23" s="1385">
        <v>1</v>
      </c>
      <c r="K23" s="1465">
        <v>42080</v>
      </c>
      <c r="L23" s="1466" t="s">
        <v>2125</v>
      </c>
      <c r="M23" s="1467">
        <v>4.7279000000000002E-2</v>
      </c>
      <c r="N23" s="1468">
        <v>1.0056350010355741</v>
      </c>
      <c r="O23" s="1468">
        <v>1.0056350010355741</v>
      </c>
    </row>
    <row r="24" spans="2:15">
      <c r="B24" s="1384">
        <v>33147</v>
      </c>
      <c r="C24" s="1385">
        <v>3.0483699999999999E-3</v>
      </c>
      <c r="D24" s="1385">
        <v>4.0171272055300002E-2</v>
      </c>
      <c r="E24" s="1385">
        <v>0</v>
      </c>
      <c r="F24" s="1385">
        <v>1</v>
      </c>
      <c r="K24" s="1465">
        <v>42081</v>
      </c>
      <c r="L24" s="1466" t="s">
        <v>2125</v>
      </c>
      <c r="M24" s="1467">
        <v>4.7279000000000002E-2</v>
      </c>
      <c r="N24" s="1468">
        <v>1.0061104552077136</v>
      </c>
      <c r="O24" s="1468">
        <v>1.0061104552077136</v>
      </c>
    </row>
    <row r="25" spans="2:15">
      <c r="B25" s="1384">
        <v>33178</v>
      </c>
      <c r="C25" s="1385">
        <v>3.5622900000000001E-3</v>
      </c>
      <c r="D25" s="1385">
        <v>4.6924062784199999E-2</v>
      </c>
      <c r="E25" s="1385">
        <v>0</v>
      </c>
      <c r="F25" s="1385">
        <v>1</v>
      </c>
      <c r="K25" s="1465">
        <v>42082</v>
      </c>
      <c r="L25" s="1466" t="s">
        <v>2125</v>
      </c>
      <c r="M25" s="1467">
        <v>4.7279000000000002E-2</v>
      </c>
      <c r="N25" s="1468">
        <v>1.0065861341698312</v>
      </c>
      <c r="O25" s="1468">
        <v>1.0065861341698312</v>
      </c>
    </row>
    <row r="26" spans="2:15">
      <c r="B26" s="1384">
        <v>33208</v>
      </c>
      <c r="C26" s="1385">
        <v>4.2034799999999999E-3</v>
      </c>
      <c r="D26" s="1385">
        <v>5.5576860018600002E-2</v>
      </c>
      <c r="E26" s="1385">
        <v>0</v>
      </c>
      <c r="F26" s="1385">
        <v>1</v>
      </c>
      <c r="K26" s="1465">
        <v>42083</v>
      </c>
      <c r="L26" s="1466" t="s">
        <v>2125</v>
      </c>
      <c r="M26" s="1467">
        <v>4.7279000000000002E-2</v>
      </c>
      <c r="N26" s="1468">
        <v>1.0070620380282054</v>
      </c>
      <c r="O26" s="1468">
        <v>1.0070620380282054</v>
      </c>
    </row>
    <row r="27" spans="2:15">
      <c r="B27" s="1384">
        <v>33239</v>
      </c>
      <c r="C27" s="1385">
        <v>4.9475200000000004E-3</v>
      </c>
      <c r="D27" s="1385">
        <v>6.7109058472399993E-2</v>
      </c>
      <c r="E27" s="1385">
        <v>0</v>
      </c>
      <c r="F27" s="1385">
        <v>1</v>
      </c>
      <c r="K27" s="1465">
        <v>42084</v>
      </c>
      <c r="L27" s="1466"/>
      <c r="M27" s="1467">
        <v>0</v>
      </c>
      <c r="N27" s="1468">
        <v>1.0070620380282054</v>
      </c>
      <c r="O27" s="1468">
        <v>1.0070620380282054</v>
      </c>
    </row>
    <row r="28" spans="2:15">
      <c r="B28" s="1384">
        <v>33270</v>
      </c>
      <c r="C28" s="1385">
        <v>5.9873900000000004E-3</v>
      </c>
      <c r="D28" s="1385">
        <v>8.1014388849100005E-2</v>
      </c>
      <c r="E28" s="1385">
        <v>0</v>
      </c>
      <c r="F28" s="1385">
        <v>1</v>
      </c>
      <c r="K28" s="1465">
        <v>42085</v>
      </c>
      <c r="L28" s="1466"/>
      <c r="M28" s="1467">
        <v>0</v>
      </c>
      <c r="N28" s="1468">
        <v>1.0070620380282054</v>
      </c>
      <c r="O28" s="1468">
        <v>1.0070620380282054</v>
      </c>
    </row>
    <row r="29" spans="2:15">
      <c r="B29" s="1384">
        <v>33298</v>
      </c>
      <c r="C29" s="1385">
        <v>6.5374099999999996E-3</v>
      </c>
      <c r="D29" s="1385">
        <v>9.0673647120300002E-2</v>
      </c>
      <c r="E29" s="1385">
        <v>0</v>
      </c>
      <c r="F29" s="1385">
        <v>1</v>
      </c>
      <c r="K29" s="1465">
        <v>42086</v>
      </c>
      <c r="L29" s="1466" t="s">
        <v>2125</v>
      </c>
      <c r="M29" s="1467">
        <v>4.7279000000000002E-2</v>
      </c>
      <c r="N29" s="1468">
        <v>1.0075381668891645</v>
      </c>
      <c r="O29" s="1468">
        <v>1.0075381668891645</v>
      </c>
    </row>
    <row r="30" spans="2:15">
      <c r="B30" s="1384">
        <v>33329</v>
      </c>
      <c r="C30" s="1385">
        <v>7.0477600000000001E-3</v>
      </c>
      <c r="D30" s="1385">
        <v>9.5197603525800006E-2</v>
      </c>
      <c r="E30" s="1385">
        <v>0</v>
      </c>
      <c r="F30" s="1385">
        <v>1</v>
      </c>
      <c r="K30" s="1465">
        <v>42087</v>
      </c>
      <c r="L30" s="1466" t="s">
        <v>2125</v>
      </c>
      <c r="M30" s="1467">
        <v>4.7279000000000002E-2</v>
      </c>
      <c r="N30" s="1468">
        <v>1.008014520859088</v>
      </c>
      <c r="O30" s="1468">
        <v>1.008014520859088</v>
      </c>
    </row>
    <row r="31" spans="2:15">
      <c r="B31" s="1384">
        <v>33359</v>
      </c>
      <c r="C31" s="1385">
        <v>7.57502E-3</v>
      </c>
      <c r="D31" s="1385">
        <v>0.10227253780620001</v>
      </c>
      <c r="E31" s="1385">
        <v>0</v>
      </c>
      <c r="F31" s="1385">
        <v>1</v>
      </c>
      <c r="K31" s="1465">
        <v>42088</v>
      </c>
      <c r="L31" s="1466" t="s">
        <v>2125</v>
      </c>
      <c r="M31" s="1467">
        <v>4.7279000000000002E-2</v>
      </c>
      <c r="N31" s="1468">
        <v>1.008491100044405</v>
      </c>
      <c r="O31" s="1468">
        <v>1.008491100044405</v>
      </c>
    </row>
    <row r="32" spans="2:15">
      <c r="B32" s="1384">
        <v>33390</v>
      </c>
      <c r="C32" s="1385">
        <v>8.2174099999999996E-3</v>
      </c>
      <c r="D32" s="1385">
        <v>0.113715813284</v>
      </c>
      <c r="E32" s="1385">
        <v>0</v>
      </c>
      <c r="F32" s="1385">
        <v>1</v>
      </c>
      <c r="K32" s="1465">
        <v>42089</v>
      </c>
      <c r="L32" s="1466" t="s">
        <v>2125</v>
      </c>
      <c r="M32" s="1467">
        <v>4.7279000000000002E-2</v>
      </c>
      <c r="N32" s="1468">
        <v>1.0089679045515949</v>
      </c>
      <c r="O32" s="1468">
        <v>1.0089679045515949</v>
      </c>
    </row>
    <row r="33" spans="2:15">
      <c r="B33" s="1384">
        <v>33420</v>
      </c>
      <c r="C33" s="1385">
        <v>9.3037399999999996E-3</v>
      </c>
      <c r="D33" s="1385">
        <v>0.12782677804270001</v>
      </c>
      <c r="E33" s="1385">
        <v>0</v>
      </c>
      <c r="F33" s="1385">
        <v>1</v>
      </c>
      <c r="K33" s="1465">
        <v>42090</v>
      </c>
      <c r="L33" s="1466" t="s">
        <v>2125</v>
      </c>
      <c r="M33" s="1467">
        <v>4.7279000000000002E-2</v>
      </c>
      <c r="N33" s="1468">
        <v>1.0094449344871876</v>
      </c>
      <c r="O33" s="1468">
        <v>1.0094449344871876</v>
      </c>
    </row>
    <row r="34" spans="2:15">
      <c r="B34" s="1384">
        <v>33451</v>
      </c>
      <c r="C34" s="1385">
        <v>1.072268E-2</v>
      </c>
      <c r="D34" s="1385">
        <v>0.14780665921940001</v>
      </c>
      <c r="E34" s="1386">
        <v>0</v>
      </c>
      <c r="F34" s="1386">
        <v>1</v>
      </c>
      <c r="K34" s="1465">
        <v>42091</v>
      </c>
      <c r="L34" s="1466"/>
      <c r="M34" s="1467">
        <v>0</v>
      </c>
      <c r="N34" s="1468">
        <v>1.0094449344871876</v>
      </c>
      <c r="O34" s="1468">
        <v>1.0094449344871876</v>
      </c>
    </row>
    <row r="35" spans="2:15">
      <c r="B35" s="1384">
        <v>33482</v>
      </c>
      <c r="C35" s="1385">
        <v>1.232337E-2</v>
      </c>
      <c r="D35" s="1385">
        <v>0.17090995992909999</v>
      </c>
      <c r="E35" s="1386">
        <v>0</v>
      </c>
      <c r="F35" s="1386">
        <v>1</v>
      </c>
      <c r="K35" s="1465">
        <v>42092</v>
      </c>
      <c r="L35" s="1466"/>
      <c r="M35" s="1467">
        <v>0</v>
      </c>
      <c r="N35" s="1468">
        <v>1.0094449344871876</v>
      </c>
      <c r="O35" s="1468">
        <v>1.0094449344871876</v>
      </c>
    </row>
    <row r="36" spans="2:15">
      <c r="B36" s="1384">
        <v>33512</v>
      </c>
      <c r="C36" s="1385">
        <v>1.5112230000000001E-2</v>
      </c>
      <c r="D36" s="1385">
        <v>0.20548432454660001</v>
      </c>
      <c r="E36" s="1386">
        <v>0</v>
      </c>
      <c r="F36" s="1386">
        <v>1</v>
      </c>
      <c r="K36" s="1465">
        <v>42093</v>
      </c>
      <c r="L36" s="1466" t="s">
        <v>2125</v>
      </c>
      <c r="M36" s="1467">
        <v>4.7279000000000002E-2</v>
      </c>
      <c r="N36" s="1468">
        <v>1.0099221899577637</v>
      </c>
      <c r="O36" s="1468">
        <v>1.0099221899577637</v>
      </c>
    </row>
    <row r="37" spans="2:15">
      <c r="B37" s="1384">
        <v>33543</v>
      </c>
      <c r="C37" s="1385">
        <v>1.8984250000000001E-2</v>
      </c>
      <c r="D37" s="1385">
        <v>0.2572875157699</v>
      </c>
      <c r="E37" s="1386">
        <v>0</v>
      </c>
      <c r="F37" s="1386">
        <v>1</v>
      </c>
      <c r="K37" s="1465">
        <v>42094</v>
      </c>
      <c r="L37" s="1466" t="s">
        <v>2125</v>
      </c>
      <c r="M37" s="1467">
        <v>4.7279000000000002E-2</v>
      </c>
      <c r="N37" s="1468">
        <v>1.0103996710699537</v>
      </c>
      <c r="O37" s="1468">
        <v>1.0103996710699537</v>
      </c>
    </row>
    <row r="38" spans="2:15">
      <c r="B38" s="1384">
        <v>33573</v>
      </c>
      <c r="C38" s="1385">
        <v>2.347107E-2</v>
      </c>
      <c r="D38" s="1385">
        <v>0.31828867732630001</v>
      </c>
      <c r="E38" s="1386">
        <v>0</v>
      </c>
      <c r="F38" s="1386">
        <v>1</v>
      </c>
      <c r="K38" s="1465">
        <v>42095</v>
      </c>
      <c r="L38" s="1466" t="s">
        <v>2125</v>
      </c>
      <c r="M38" s="1467">
        <v>4.7279000000000002E-2</v>
      </c>
      <c r="N38" s="1468">
        <v>1.0108773779304387</v>
      </c>
      <c r="O38" s="1468">
        <v>1.0108773779304387</v>
      </c>
    </row>
    <row r="39" spans="2:15">
      <c r="B39" s="1384">
        <v>33604</v>
      </c>
      <c r="C39" s="1385">
        <v>2.9000140000000001E-2</v>
      </c>
      <c r="D39" s="1385">
        <v>0.40085366056990002</v>
      </c>
      <c r="E39" s="1386">
        <v>0</v>
      </c>
      <c r="F39" s="1386">
        <v>1</v>
      </c>
      <c r="K39" s="1465">
        <v>42096</v>
      </c>
      <c r="L39" s="1466" t="s">
        <v>2125</v>
      </c>
      <c r="M39" s="1467">
        <v>4.7279000000000002E-2</v>
      </c>
      <c r="N39" s="1468">
        <v>1.0113553106459503</v>
      </c>
      <c r="O39" s="1468">
        <v>1.0113553106459503</v>
      </c>
    </row>
    <row r="40" spans="2:15">
      <c r="B40" s="1384">
        <v>33635</v>
      </c>
      <c r="C40" s="1385">
        <v>3.7078809999999997E-2</v>
      </c>
      <c r="D40" s="1385">
        <v>0.49834103072840003</v>
      </c>
      <c r="E40" s="1386">
        <v>0</v>
      </c>
      <c r="F40" s="1386">
        <v>1</v>
      </c>
      <c r="K40" s="1465">
        <v>42097</v>
      </c>
      <c r="L40" s="1466"/>
      <c r="M40" s="1467">
        <v>0</v>
      </c>
      <c r="N40" s="1468">
        <v>1.0113553106459503</v>
      </c>
      <c r="O40" s="1468">
        <v>1.0113553106459503</v>
      </c>
    </row>
    <row r="41" spans="2:15">
      <c r="B41" s="1384">
        <v>33664</v>
      </c>
      <c r="C41" s="1385">
        <v>4.501144E-2</v>
      </c>
      <c r="D41" s="1385">
        <v>0.60498746741809994</v>
      </c>
      <c r="E41" s="1386">
        <v>0</v>
      </c>
      <c r="F41" s="1386">
        <v>1</v>
      </c>
      <c r="K41" s="1465">
        <v>42098</v>
      </c>
      <c r="L41" s="1466"/>
      <c r="M41" s="1467">
        <v>0</v>
      </c>
      <c r="N41" s="1468">
        <v>1.0113553106459503</v>
      </c>
      <c r="O41" s="1468">
        <v>1.0113553106459503</v>
      </c>
    </row>
    <row r="42" spans="2:15">
      <c r="B42" s="1384">
        <v>33695</v>
      </c>
      <c r="C42" s="1385">
        <v>5.3986060000000002E-2</v>
      </c>
      <c r="D42" s="1385">
        <v>0.72556146522830001</v>
      </c>
      <c r="E42" s="1386">
        <v>0</v>
      </c>
      <c r="F42" s="1386">
        <v>1</v>
      </c>
      <c r="K42" s="1465">
        <v>42099</v>
      </c>
      <c r="L42" s="1466"/>
      <c r="M42" s="1467">
        <v>0</v>
      </c>
      <c r="N42" s="1468">
        <v>1.0113553106459503</v>
      </c>
      <c r="O42" s="1468">
        <v>1.0113553106459503</v>
      </c>
    </row>
    <row r="43" spans="2:15">
      <c r="B43" s="1384">
        <v>33725</v>
      </c>
      <c r="C43" s="1385">
        <v>6.5012799999999996E-2</v>
      </c>
      <c r="D43" s="1385">
        <v>0.90593616441860003</v>
      </c>
      <c r="E43" s="1386">
        <v>0</v>
      </c>
      <c r="F43" s="1386">
        <v>1</v>
      </c>
      <c r="K43" s="1465">
        <v>42100</v>
      </c>
      <c r="L43" s="1466" t="s">
        <v>2125</v>
      </c>
      <c r="M43" s="1467">
        <v>4.7279000000000002E-2</v>
      </c>
      <c r="N43" s="1468">
        <v>1.0118334693232705</v>
      </c>
      <c r="O43" s="1468">
        <v>1.0118334693232705</v>
      </c>
    </row>
    <row r="44" spans="2:15">
      <c r="B44" s="1384">
        <v>33756</v>
      </c>
      <c r="C44" s="1385">
        <v>8.0361459999999996E-2</v>
      </c>
      <c r="D44" s="1385">
        <v>1.0890285720637001</v>
      </c>
      <c r="E44" s="1386">
        <v>0</v>
      </c>
      <c r="F44" s="1386">
        <v>1</v>
      </c>
      <c r="K44" s="1465">
        <v>42101</v>
      </c>
      <c r="L44" s="1466" t="s">
        <v>2125</v>
      </c>
      <c r="M44" s="1467">
        <v>4.7279000000000002E-2</v>
      </c>
      <c r="N44" s="1468">
        <v>1.0123118540692317</v>
      </c>
      <c r="O44" s="1468">
        <v>1.0123118540692317</v>
      </c>
    </row>
    <row r="45" spans="2:15">
      <c r="B45" s="1384">
        <v>33786</v>
      </c>
      <c r="C45" s="1385">
        <v>9.7908469999999997E-2</v>
      </c>
      <c r="D45" s="1385">
        <v>1.3267641484791</v>
      </c>
      <c r="E45" s="1386">
        <v>0</v>
      </c>
      <c r="F45" s="1386">
        <v>1</v>
      </c>
      <c r="K45" s="1465">
        <v>42102</v>
      </c>
      <c r="L45" s="1466" t="s">
        <v>2125</v>
      </c>
      <c r="M45" s="1467">
        <v>4.7279000000000002E-2</v>
      </c>
      <c r="N45" s="1468">
        <v>1.0127904649907171</v>
      </c>
      <c r="O45" s="1468">
        <v>1.0127904649907171</v>
      </c>
    </row>
    <row r="46" spans="2:15">
      <c r="B46" s="1384">
        <v>33817</v>
      </c>
      <c r="C46" s="1385">
        <v>0.12202180999999999</v>
      </c>
      <c r="D46" s="1385">
        <v>1.6205100844213001</v>
      </c>
      <c r="E46" s="1386">
        <v>0</v>
      </c>
      <c r="F46" s="1386">
        <v>1</v>
      </c>
      <c r="K46" s="1465">
        <v>42103</v>
      </c>
      <c r="L46" s="1466" t="s">
        <v>2125</v>
      </c>
      <c r="M46" s="1467">
        <v>4.7279000000000002E-2</v>
      </c>
      <c r="N46" s="1468">
        <v>1.0132693021946599</v>
      </c>
      <c r="O46" s="1468">
        <v>1.0132693021946599</v>
      </c>
    </row>
    <row r="47" spans="2:15">
      <c r="B47" s="1384">
        <v>33848</v>
      </c>
      <c r="C47" s="1385">
        <v>0.15285811999999999</v>
      </c>
      <c r="D47" s="1385">
        <v>2.0196408623306001</v>
      </c>
      <c r="E47" s="1386">
        <v>0</v>
      </c>
      <c r="F47" s="1386">
        <v>1</v>
      </c>
      <c r="K47" s="1465">
        <v>42104</v>
      </c>
      <c r="L47" s="1466" t="s">
        <v>2125</v>
      </c>
      <c r="M47" s="1467">
        <v>4.7279000000000002E-2</v>
      </c>
      <c r="N47" s="1468">
        <v>1.0137483657880444</v>
      </c>
      <c r="O47" s="1468">
        <v>1.0137483657880444</v>
      </c>
    </row>
    <row r="48" spans="2:15">
      <c r="B48" s="1384">
        <v>33878</v>
      </c>
      <c r="C48" s="1385">
        <v>0.19376498</v>
      </c>
      <c r="D48" s="1385">
        <v>2.5293973801068002</v>
      </c>
      <c r="E48" s="1386">
        <v>0</v>
      </c>
      <c r="F48" s="1386">
        <v>1</v>
      </c>
      <c r="K48" s="1465">
        <v>42105</v>
      </c>
      <c r="L48" s="1466"/>
      <c r="M48" s="1467">
        <v>0</v>
      </c>
      <c r="N48" s="1468">
        <v>1.0137483657880444</v>
      </c>
      <c r="O48" s="1468">
        <v>1.0137483657880444</v>
      </c>
    </row>
    <row r="49" spans="2:15">
      <c r="B49" s="1384">
        <v>33909</v>
      </c>
      <c r="C49" s="1385">
        <v>0.23916162999999999</v>
      </c>
      <c r="D49" s="1385">
        <v>3.0982598885127999</v>
      </c>
      <c r="E49" s="1386">
        <v>0</v>
      </c>
      <c r="F49" s="1386">
        <v>1</v>
      </c>
      <c r="K49" s="1465">
        <v>42106</v>
      </c>
      <c r="L49" s="1466"/>
      <c r="M49" s="1467">
        <v>0</v>
      </c>
      <c r="N49" s="1468">
        <v>1.0137483657880444</v>
      </c>
      <c r="O49" s="1468">
        <v>1.0137483657880444</v>
      </c>
    </row>
    <row r="50" spans="2:15">
      <c r="B50" s="1384">
        <v>33939</v>
      </c>
      <c r="C50" s="1385">
        <v>0.29913278999999998</v>
      </c>
      <c r="D50" s="1385">
        <v>3.8802596550900001</v>
      </c>
      <c r="E50" s="1386">
        <v>0</v>
      </c>
      <c r="F50" s="1386">
        <v>1</v>
      </c>
      <c r="K50" s="1465">
        <v>42107</v>
      </c>
      <c r="L50" s="1466" t="s">
        <v>2125</v>
      </c>
      <c r="M50" s="1467">
        <v>4.7279000000000002E-2</v>
      </c>
      <c r="N50" s="1468">
        <v>1.0142276558779053</v>
      </c>
      <c r="O50" s="1468">
        <v>1.0142276558779053</v>
      </c>
    </row>
    <row r="51" spans="2:15">
      <c r="B51" s="1384">
        <v>33970</v>
      </c>
      <c r="C51" s="1385">
        <v>0.37638683000000001</v>
      </c>
      <c r="D51" s="1385">
        <v>5.0579166458253004</v>
      </c>
      <c r="E51" s="1386">
        <v>0</v>
      </c>
      <c r="F51" s="1386">
        <v>1</v>
      </c>
      <c r="K51" s="1465">
        <v>42108</v>
      </c>
      <c r="L51" s="1466" t="s">
        <v>2125</v>
      </c>
      <c r="M51" s="1467">
        <v>4.7279000000000002E-2</v>
      </c>
      <c r="N51" s="1468">
        <v>1.0147071725713277</v>
      </c>
      <c r="O51" s="1468">
        <v>1.0147071725713277</v>
      </c>
    </row>
    <row r="52" spans="2:15">
      <c r="B52" s="1384">
        <v>34001</v>
      </c>
      <c r="C52" s="1385">
        <v>0.48335073000000001</v>
      </c>
      <c r="D52" s="1385">
        <v>6.3213843084293</v>
      </c>
      <c r="E52" s="1386">
        <v>0</v>
      </c>
      <c r="F52" s="1386">
        <v>1</v>
      </c>
      <c r="K52" s="1465">
        <v>42109</v>
      </c>
      <c r="L52" s="1466" t="s">
        <v>2125</v>
      </c>
      <c r="M52" s="1467">
        <v>4.7279000000000002E-2</v>
      </c>
      <c r="N52" s="1468">
        <v>1.0151869159754476</v>
      </c>
      <c r="O52" s="1468">
        <v>1.0151869159754476</v>
      </c>
    </row>
    <row r="53" spans="2:15">
      <c r="B53" s="1384">
        <v>34029</v>
      </c>
      <c r="C53" s="1385">
        <v>0.61023090000000002</v>
      </c>
      <c r="D53" s="1385">
        <v>8.0445948724788998</v>
      </c>
      <c r="E53" s="1386">
        <v>0</v>
      </c>
      <c r="F53" s="1386">
        <v>1</v>
      </c>
      <c r="K53" s="1465">
        <v>42110</v>
      </c>
      <c r="L53" s="1466" t="s">
        <v>2125</v>
      </c>
      <c r="M53" s="1467">
        <v>4.7279000000000002E-2</v>
      </c>
      <c r="N53" s="1468">
        <v>1.0156668861974516</v>
      </c>
      <c r="O53" s="1468">
        <v>1.0156668861974516</v>
      </c>
    </row>
    <row r="54" spans="2:15">
      <c r="B54" s="1384">
        <v>34060</v>
      </c>
      <c r="C54" s="1385">
        <v>0.78617482000000005</v>
      </c>
      <c r="D54" s="1385">
        <v>10.2769672819025</v>
      </c>
      <c r="E54" s="1386">
        <v>0</v>
      </c>
      <c r="F54" s="1386">
        <v>1</v>
      </c>
      <c r="K54" s="1465">
        <v>42111</v>
      </c>
      <c r="L54" s="1466" t="s">
        <v>2125</v>
      </c>
      <c r="M54" s="1467">
        <v>4.7279000000000002E-2</v>
      </c>
      <c r="N54" s="1468">
        <v>1.0161470833445767</v>
      </c>
      <c r="O54" s="1468">
        <v>1.0161470833445767</v>
      </c>
    </row>
    <row r="55" spans="2:15">
      <c r="B55" s="1384">
        <v>34090</v>
      </c>
      <c r="C55" s="1385">
        <v>1.01968087</v>
      </c>
      <c r="D55" s="1385">
        <v>13.1226581300609</v>
      </c>
      <c r="E55" s="1386">
        <v>0</v>
      </c>
      <c r="F55" s="1386">
        <v>1</v>
      </c>
      <c r="K55" s="1465">
        <v>42112</v>
      </c>
      <c r="L55" s="1466"/>
      <c r="M55" s="1467">
        <v>0</v>
      </c>
      <c r="N55" s="1468">
        <v>1.0161470833445767</v>
      </c>
      <c r="O55" s="1468">
        <v>1.0161470833445767</v>
      </c>
    </row>
    <row r="56" spans="2:15">
      <c r="B56" s="1384">
        <v>34121</v>
      </c>
      <c r="C56" s="1385">
        <v>1.3408208699999999</v>
      </c>
      <c r="D56" s="1385">
        <v>17.068642979808899</v>
      </c>
      <c r="E56" s="1386">
        <v>0</v>
      </c>
      <c r="F56" s="1386">
        <v>1</v>
      </c>
      <c r="K56" s="1465">
        <v>42113</v>
      </c>
      <c r="L56" s="1466"/>
      <c r="M56" s="1467">
        <v>0</v>
      </c>
      <c r="N56" s="1468">
        <v>1.0161470833445767</v>
      </c>
      <c r="O56" s="1468">
        <v>1.0161470833445767</v>
      </c>
    </row>
    <row r="57" spans="2:15">
      <c r="B57" s="1384">
        <v>34151</v>
      </c>
      <c r="C57" s="1385">
        <v>1.75984608</v>
      </c>
      <c r="D57" s="1385">
        <v>22.312130761236201</v>
      </c>
      <c r="E57" s="1386">
        <v>0</v>
      </c>
      <c r="F57" s="1386">
        <v>1</v>
      </c>
      <c r="K57" s="1465">
        <v>42114</v>
      </c>
      <c r="L57" s="1466" t="s">
        <v>2125</v>
      </c>
      <c r="M57" s="1467">
        <v>4.7279000000000002E-2</v>
      </c>
      <c r="N57" s="1468">
        <v>1.0166275075241111</v>
      </c>
      <c r="O57" s="1468">
        <v>1.0166275075241111</v>
      </c>
    </row>
    <row r="58" spans="2:15">
      <c r="B58" s="1384">
        <v>34182</v>
      </c>
      <c r="C58" s="1385">
        <v>2.31923637</v>
      </c>
      <c r="D58" s="1385">
        <v>29.666210936414501</v>
      </c>
      <c r="E58" s="1386">
        <v>0</v>
      </c>
      <c r="F58" s="1386">
        <v>1</v>
      </c>
      <c r="K58" s="1465">
        <v>42115</v>
      </c>
      <c r="L58" s="1466"/>
      <c r="M58" s="1467">
        <v>0</v>
      </c>
      <c r="N58" s="1468">
        <v>1.0166275075241111</v>
      </c>
      <c r="O58" s="1468">
        <v>1.0166275075241111</v>
      </c>
    </row>
    <row r="59" spans="2:15">
      <c r="B59" s="1384">
        <v>34213</v>
      </c>
      <c r="C59" s="1385">
        <v>3.1375231000000001</v>
      </c>
      <c r="D59" s="1385">
        <v>40.254080730946797</v>
      </c>
      <c r="E59" s="1386">
        <v>0</v>
      </c>
      <c r="F59" s="1386">
        <v>1</v>
      </c>
      <c r="K59" s="1465">
        <v>42116</v>
      </c>
      <c r="L59" s="1466" t="s">
        <v>2125</v>
      </c>
      <c r="M59" s="1467">
        <v>4.7279000000000002E-2</v>
      </c>
      <c r="N59" s="1468">
        <v>1.0171081588433935</v>
      </c>
      <c r="O59" s="1468">
        <v>1.0171081588433935</v>
      </c>
    </row>
    <row r="60" spans="2:15">
      <c r="B60" s="1384">
        <v>34243</v>
      </c>
      <c r="C60" s="1385">
        <v>4.2367972299999996</v>
      </c>
      <c r="D60" s="1385">
        <v>53.908264834853298</v>
      </c>
      <c r="E60" s="1386">
        <v>0</v>
      </c>
      <c r="F60" s="1386">
        <v>1</v>
      </c>
      <c r="K60" s="1465">
        <v>42117</v>
      </c>
      <c r="L60" s="1466" t="s">
        <v>2125</v>
      </c>
      <c r="M60" s="1467">
        <v>4.7279000000000002E-2</v>
      </c>
      <c r="N60" s="1468">
        <v>1.0175890374098129</v>
      </c>
      <c r="O60" s="1468">
        <v>1.0175890374098129</v>
      </c>
    </row>
    <row r="61" spans="2:15">
      <c r="B61" s="1384">
        <v>34274</v>
      </c>
      <c r="C61" s="1385">
        <v>5.7685216500000003</v>
      </c>
      <c r="D61" s="1385">
        <v>73.078046584524003</v>
      </c>
      <c r="E61" s="1386">
        <v>0</v>
      </c>
      <c r="F61" s="1386">
        <v>1</v>
      </c>
      <c r="K61" s="1465">
        <v>42118</v>
      </c>
      <c r="L61" s="1466" t="s">
        <v>2125</v>
      </c>
      <c r="M61" s="1467">
        <v>4.7279000000000002E-2</v>
      </c>
      <c r="N61" s="1468">
        <v>1.0180701433308097</v>
      </c>
      <c r="O61" s="1468">
        <v>1.0180701433308097</v>
      </c>
    </row>
    <row r="62" spans="2:15">
      <c r="B62" s="1384">
        <v>34304</v>
      </c>
      <c r="C62" s="1385">
        <v>7.9792505900000004</v>
      </c>
      <c r="D62" s="1385">
        <v>100</v>
      </c>
      <c r="E62" s="1386">
        <v>0</v>
      </c>
      <c r="F62" s="1386">
        <v>1</v>
      </c>
      <c r="K62" s="1465">
        <v>42119</v>
      </c>
      <c r="L62" s="1466"/>
      <c r="M62" s="1467">
        <v>0</v>
      </c>
      <c r="N62" s="1468">
        <v>1.0180701433308097</v>
      </c>
      <c r="O62" s="1468">
        <v>1.0180701433308097</v>
      </c>
    </row>
    <row r="63" spans="2:15">
      <c r="B63" s="1384">
        <v>34335</v>
      </c>
      <c r="C63" s="1385">
        <v>11.0967647</v>
      </c>
      <c r="D63" s="1385">
        <v>141.31</v>
      </c>
      <c r="E63" s="1386">
        <v>0</v>
      </c>
      <c r="F63" s="1386">
        <v>1</v>
      </c>
      <c r="K63" s="1465">
        <v>42120</v>
      </c>
      <c r="L63" s="1466"/>
      <c r="M63" s="1467">
        <v>0</v>
      </c>
      <c r="N63" s="1468">
        <v>1.0180701433308097</v>
      </c>
      <c r="O63" s="1468">
        <v>1.0180701433308097</v>
      </c>
    </row>
    <row r="64" spans="2:15">
      <c r="B64" s="1384">
        <v>34366</v>
      </c>
      <c r="C64" s="1385">
        <v>15.62186911</v>
      </c>
      <c r="D64" s="1385">
        <v>198.22</v>
      </c>
      <c r="E64" s="1386">
        <v>0</v>
      </c>
      <c r="F64" s="1386">
        <v>1</v>
      </c>
      <c r="K64" s="1465">
        <v>42121</v>
      </c>
      <c r="L64" s="1466" t="s">
        <v>2125</v>
      </c>
      <c r="M64" s="1467">
        <v>4.7314000000000002E-2</v>
      </c>
      <c r="N64" s="1468">
        <v>1.0185518330384251</v>
      </c>
      <c r="O64" s="1468">
        <v>1.0185518330384251</v>
      </c>
    </row>
    <row r="65" spans="2:15">
      <c r="B65" s="1384">
        <v>34394</v>
      </c>
      <c r="C65" s="1385">
        <v>22.762782099999999</v>
      </c>
      <c r="D65" s="1385">
        <v>282.95999999999998</v>
      </c>
      <c r="E65" s="1386">
        <v>0</v>
      </c>
      <c r="F65" s="1386">
        <v>1</v>
      </c>
      <c r="K65" s="1465">
        <v>42122</v>
      </c>
      <c r="L65" s="1466" t="s">
        <v>2125</v>
      </c>
      <c r="M65" s="1467">
        <v>4.7350000000000003E-2</v>
      </c>
      <c r="N65" s="1468">
        <v>1.0190341173313688</v>
      </c>
      <c r="O65" s="1468">
        <v>1.0190341173313688</v>
      </c>
    </row>
    <row r="66" spans="2:15">
      <c r="B66" s="1384">
        <v>34425</v>
      </c>
      <c r="C66" s="1385">
        <v>32.074938510000003</v>
      </c>
      <c r="D66" s="1385">
        <v>403.73</v>
      </c>
      <c r="E66" s="1386">
        <v>0</v>
      </c>
      <c r="F66" s="1386">
        <v>1</v>
      </c>
      <c r="K66" s="1465">
        <v>42123</v>
      </c>
      <c r="L66" s="1466" t="s">
        <v>2125</v>
      </c>
      <c r="M66" s="1467">
        <v>4.7350000000000003E-2</v>
      </c>
      <c r="N66" s="1468">
        <v>1.0195166299859253</v>
      </c>
      <c r="O66" s="1468">
        <v>1.0195166299859253</v>
      </c>
    </row>
    <row r="67" spans="2:15">
      <c r="B67" s="1384">
        <v>34455</v>
      </c>
      <c r="C67" s="1385">
        <v>45.731576959999998</v>
      </c>
      <c r="D67" s="1385">
        <v>581.49</v>
      </c>
      <c r="E67" s="1386">
        <v>0</v>
      </c>
      <c r="F67" s="1386">
        <v>1</v>
      </c>
      <c r="K67" s="1465">
        <v>42124</v>
      </c>
      <c r="L67" s="1466" t="s">
        <v>2125</v>
      </c>
      <c r="M67" s="1467">
        <v>4.9036999999999997E-2</v>
      </c>
      <c r="N67" s="1468">
        <v>1.0200165703557715</v>
      </c>
      <c r="O67" s="1468">
        <v>1.0200165703557715</v>
      </c>
    </row>
    <row r="68" spans="2:15">
      <c r="B68" s="1384">
        <v>34486</v>
      </c>
      <c r="C68" s="1385">
        <v>66.408212939999999</v>
      </c>
      <c r="D68" s="1385">
        <v>857.29</v>
      </c>
      <c r="E68" s="1386">
        <v>0</v>
      </c>
      <c r="F68" s="1386">
        <v>1</v>
      </c>
      <c r="K68" s="1465">
        <v>42125</v>
      </c>
      <c r="L68" s="1466"/>
      <c r="M68" s="1467">
        <v>0</v>
      </c>
      <c r="N68" s="1468">
        <v>1.0200165703557715</v>
      </c>
      <c r="O68" s="1468">
        <v>1.0200165703557715</v>
      </c>
    </row>
    <row r="69" spans="2:15">
      <c r="B69" s="1384">
        <v>34516</v>
      </c>
      <c r="C69" s="1385">
        <v>92.968426030000003</v>
      </c>
      <c r="D69" s="1385">
        <v>915.93</v>
      </c>
      <c r="E69" s="1386">
        <v>0</v>
      </c>
      <c r="F69" s="1386">
        <v>1</v>
      </c>
      <c r="K69" s="1465">
        <v>42126</v>
      </c>
      <c r="L69" s="1466"/>
      <c r="M69" s="1467">
        <v>0</v>
      </c>
      <c r="N69" s="1468">
        <v>1.0200165703557715</v>
      </c>
      <c r="O69" s="1468">
        <v>1.0200165703557715</v>
      </c>
    </row>
    <row r="70" spans="2:15">
      <c r="B70" s="1384">
        <v>34547</v>
      </c>
      <c r="C70" s="1385">
        <v>100</v>
      </c>
      <c r="D70" s="1385">
        <v>932.97</v>
      </c>
      <c r="E70" s="1386">
        <v>1.0417031360600404</v>
      </c>
      <c r="F70" s="1386">
        <v>1.0417031360600404</v>
      </c>
      <c r="K70" s="1465">
        <v>42127</v>
      </c>
      <c r="L70" s="1466"/>
      <c r="M70" s="1467">
        <v>0</v>
      </c>
      <c r="N70" s="1468">
        <v>1.0200165703557715</v>
      </c>
      <c r="O70" s="1468">
        <v>1.0200165703557715</v>
      </c>
    </row>
    <row r="71" spans="2:15">
      <c r="B71" s="1384">
        <v>34578</v>
      </c>
      <c r="C71" s="1385">
        <v>101.751</v>
      </c>
      <c r="D71" s="1385">
        <v>947.24</v>
      </c>
      <c r="E71" s="1386">
        <v>1.040191380612066</v>
      </c>
      <c r="F71" s="1386">
        <v>1.0835706232862121</v>
      </c>
      <c r="K71" s="1465">
        <v>42128</v>
      </c>
      <c r="L71" s="1466" t="s">
        <v>2125</v>
      </c>
      <c r="M71" s="1467">
        <v>4.9036999999999997E-2</v>
      </c>
      <c r="N71" s="1468">
        <v>1.020516755881377</v>
      </c>
      <c r="O71" s="1468">
        <v>1.020516755881377</v>
      </c>
    </row>
    <row r="72" spans="2:15">
      <c r="B72" s="1384">
        <v>34608</v>
      </c>
      <c r="C72" s="1385">
        <v>103.602</v>
      </c>
      <c r="D72" s="1385">
        <v>972.06</v>
      </c>
      <c r="E72" s="1386">
        <v>1.0400235119965635</v>
      </c>
      <c r="F72" s="1386">
        <v>1.1269389251264317</v>
      </c>
      <c r="K72" s="1465">
        <v>42129</v>
      </c>
      <c r="L72" s="1466" t="s">
        <v>2125</v>
      </c>
      <c r="M72" s="1467">
        <v>4.9036999999999997E-2</v>
      </c>
      <c r="N72" s="1468">
        <v>1.0210171866829587</v>
      </c>
      <c r="O72" s="1468">
        <v>1.0210171866829587</v>
      </c>
    </row>
    <row r="73" spans="2:15">
      <c r="B73" s="1384">
        <v>34639</v>
      </c>
      <c r="C73" s="1385">
        <v>106.553</v>
      </c>
      <c r="D73" s="1385">
        <v>999.37</v>
      </c>
      <c r="E73" s="1386">
        <v>1.0448704061969656</v>
      </c>
      <c r="F73" s="1386">
        <v>1.1775051324560264</v>
      </c>
      <c r="K73" s="1465">
        <v>42130</v>
      </c>
      <c r="L73" s="1466" t="s">
        <v>2125</v>
      </c>
      <c r="M73" s="1467">
        <v>4.9036999999999997E-2</v>
      </c>
      <c r="N73" s="1468">
        <v>1.0215178628807926</v>
      </c>
      <c r="O73" s="1468">
        <v>1.0215178628807926</v>
      </c>
    </row>
    <row r="74" spans="2:15">
      <c r="B74" s="1384">
        <v>34669</v>
      </c>
      <c r="C74" s="1385">
        <v>107.45</v>
      </c>
      <c r="D74" s="1385">
        <v>1016.46</v>
      </c>
      <c r="E74" s="1386">
        <v>1.0379749903132509</v>
      </c>
      <c r="F74" s="1386">
        <v>1.2222208784548472</v>
      </c>
      <c r="K74" s="1465">
        <v>42131</v>
      </c>
      <c r="L74" s="1466" t="s">
        <v>2125</v>
      </c>
      <c r="M74" s="1467">
        <v>4.9036999999999997E-2</v>
      </c>
      <c r="N74" s="1468">
        <v>1.0220187845952136</v>
      </c>
      <c r="O74" s="1468">
        <v>1.0220187845952136</v>
      </c>
    </row>
    <row r="75" spans="2:15">
      <c r="B75" s="1384">
        <v>34700</v>
      </c>
      <c r="C75" s="1385">
        <v>108.44199999999999</v>
      </c>
      <c r="D75" s="1385">
        <v>1033.74</v>
      </c>
      <c r="E75" s="1386">
        <v>1.033745155557255</v>
      </c>
      <c r="F75" s="1386">
        <v>1.2634649121236308</v>
      </c>
      <c r="K75" s="1465">
        <v>42132</v>
      </c>
      <c r="L75" s="1466" t="s">
        <v>2125</v>
      </c>
      <c r="M75" s="1467">
        <v>4.9036999999999997E-2</v>
      </c>
      <c r="N75" s="1468">
        <v>1.0225199519466155</v>
      </c>
      <c r="O75" s="1468">
        <v>1.0225199519466155</v>
      </c>
    </row>
    <row r="76" spans="2:15">
      <c r="B76" s="1384">
        <v>34731</v>
      </c>
      <c r="C76" s="1385">
        <v>109.9455</v>
      </c>
      <c r="D76" s="1385">
        <v>1044.28</v>
      </c>
      <c r="E76" s="1386">
        <v>1.0361946548110796</v>
      </c>
      <c r="F76" s="1386">
        <v>1.3091955884838566</v>
      </c>
      <c r="K76" s="1465">
        <v>42133</v>
      </c>
      <c r="L76" s="1466"/>
      <c r="M76" s="1467">
        <v>0</v>
      </c>
      <c r="N76" s="1468">
        <v>1.0225199519466155</v>
      </c>
      <c r="O76" s="1468">
        <v>1.0225199519466155</v>
      </c>
    </row>
    <row r="77" spans="2:15">
      <c r="B77" s="1384">
        <v>34759</v>
      </c>
      <c r="C77" s="1385">
        <v>111.178</v>
      </c>
      <c r="D77" s="1385">
        <v>1060.47</v>
      </c>
      <c r="E77" s="1386">
        <v>1.0426211014987152</v>
      </c>
      <c r="F77" s="1386">
        <v>1.3649949465422972</v>
      </c>
      <c r="K77" s="1465">
        <v>42134</v>
      </c>
      <c r="L77" s="1466"/>
      <c r="M77" s="1467">
        <v>0</v>
      </c>
      <c r="N77" s="1468">
        <v>1.0225199519466155</v>
      </c>
      <c r="O77" s="1468">
        <v>1.0225199519466155</v>
      </c>
    </row>
    <row r="78" spans="2:15">
      <c r="B78" s="1384">
        <v>34790</v>
      </c>
      <c r="C78" s="1385">
        <v>113.518</v>
      </c>
      <c r="D78" s="1385">
        <v>1086.24</v>
      </c>
      <c r="E78" s="1386">
        <v>1.0502446731743562</v>
      </c>
      <c r="F78" s="1386">
        <v>1.4335786715159629</v>
      </c>
      <c r="K78" s="1465">
        <v>42135</v>
      </c>
      <c r="L78" s="1466" t="s">
        <v>2125</v>
      </c>
      <c r="M78" s="1467">
        <v>4.9036999999999997E-2</v>
      </c>
      <c r="N78" s="1468">
        <v>1.0230213650554516</v>
      </c>
      <c r="O78" s="1468">
        <v>1.0230213650554516</v>
      </c>
    </row>
    <row r="79" spans="2:15">
      <c r="B79" s="1384">
        <v>34820</v>
      </c>
      <c r="C79" s="1385">
        <v>114.17100000000001</v>
      </c>
      <c r="D79" s="1385">
        <v>1115.24</v>
      </c>
      <c r="E79" s="1386">
        <v>1.0450356278102417</v>
      </c>
      <c r="F79" s="1386">
        <v>1.4981407870030565</v>
      </c>
      <c r="K79" s="1465">
        <v>42136</v>
      </c>
      <c r="L79" s="1466" t="s">
        <v>2125</v>
      </c>
      <c r="M79" s="1467">
        <v>4.9036999999999997E-2</v>
      </c>
      <c r="N79" s="1468">
        <v>1.0235230240422339</v>
      </c>
      <c r="O79" s="1468">
        <v>1.0235230240422339</v>
      </c>
    </row>
    <row r="80" spans="2:15">
      <c r="B80" s="1384">
        <v>34851</v>
      </c>
      <c r="C80" s="1385">
        <v>116.98399999999999</v>
      </c>
      <c r="D80" s="1385">
        <v>1140.44</v>
      </c>
      <c r="E80" s="1386">
        <v>1.0423602226147934</v>
      </c>
      <c r="F80" s="1386">
        <v>1.5616023642488079</v>
      </c>
      <c r="K80" s="1465">
        <v>42137</v>
      </c>
      <c r="L80" s="1466" t="s">
        <v>2125</v>
      </c>
      <c r="M80" s="1467">
        <v>4.9036999999999997E-2</v>
      </c>
      <c r="N80" s="1468">
        <v>1.0240249290275336</v>
      </c>
      <c r="O80" s="1468">
        <v>1.0240249290275336</v>
      </c>
    </row>
    <row r="81" spans="2:15">
      <c r="B81" s="1384">
        <v>34881</v>
      </c>
      <c r="C81" s="1385">
        <v>119.114</v>
      </c>
      <c r="D81" s="1385">
        <v>1167.3499999999999</v>
      </c>
      <c r="E81" s="1386">
        <v>1.0402311780170954</v>
      </c>
      <c r="F81" s="1386">
        <v>1.6244274669568188</v>
      </c>
      <c r="K81" s="1465">
        <v>42138</v>
      </c>
      <c r="L81" s="1466" t="s">
        <v>2125</v>
      </c>
      <c r="M81" s="1467">
        <v>4.9036999999999997E-2</v>
      </c>
      <c r="N81" s="1468">
        <v>1.024527080131981</v>
      </c>
      <c r="O81" s="1468">
        <v>1.024527080131981</v>
      </c>
    </row>
    <row r="82" spans="2:15">
      <c r="B82" s="1384">
        <v>34912</v>
      </c>
      <c r="C82" s="1385">
        <v>121.729</v>
      </c>
      <c r="D82" s="1385">
        <v>1178.9100000000001</v>
      </c>
      <c r="E82" s="1385">
        <v>1.0383979241220025</v>
      </c>
      <c r="F82" s="1385">
        <v>1.6868021095747234</v>
      </c>
      <c r="G82" s="7">
        <v>41036.512291666666</v>
      </c>
      <c r="K82" s="1465">
        <v>42139</v>
      </c>
      <c r="L82" s="1466" t="s">
        <v>2125</v>
      </c>
      <c r="M82" s="1467">
        <v>4.9036999999999997E-2</v>
      </c>
      <c r="N82" s="1468">
        <v>1.0250294774762654</v>
      </c>
      <c r="O82" s="1468">
        <v>1.0250294774762654</v>
      </c>
    </row>
    <row r="83" spans="2:15">
      <c r="B83" s="1384">
        <v>34943</v>
      </c>
      <c r="C83" s="1385">
        <v>120.869</v>
      </c>
      <c r="D83" s="1385">
        <v>1190.58</v>
      </c>
      <c r="E83" s="1385">
        <v>1.0349384575781275</v>
      </c>
      <c r="F83" s="1385">
        <v>1.745736373522796</v>
      </c>
      <c r="K83" s="1465">
        <v>42140</v>
      </c>
      <c r="L83" s="1466"/>
      <c r="M83" s="1467">
        <v>0</v>
      </c>
      <c r="N83" s="1468">
        <v>1.0250294774762654</v>
      </c>
      <c r="O83" s="1468">
        <v>1.0250294774762654</v>
      </c>
    </row>
    <row r="84" spans="2:15">
      <c r="B84" s="1384">
        <v>34973</v>
      </c>
      <c r="C84" s="1385">
        <v>121.503</v>
      </c>
      <c r="D84" s="1385">
        <v>1207.3699999999999</v>
      </c>
      <c r="E84" s="1385">
        <v>1.0324041438440343</v>
      </c>
      <c r="F84" s="1385">
        <v>1.8023054660841915</v>
      </c>
      <c r="K84" s="1465">
        <v>42141</v>
      </c>
      <c r="L84" s="1466"/>
      <c r="M84" s="1467">
        <v>0</v>
      </c>
      <c r="N84" s="1468">
        <v>1.0250294774762654</v>
      </c>
      <c r="O84" s="1468">
        <v>1.0250294774762654</v>
      </c>
    </row>
    <row r="85" spans="2:15">
      <c r="B85" s="1384">
        <v>35004</v>
      </c>
      <c r="C85" s="1385">
        <v>122.955</v>
      </c>
      <c r="D85" s="1385">
        <v>1225.1199999999999</v>
      </c>
      <c r="E85" s="1385">
        <v>1.0316999077357936</v>
      </c>
      <c r="F85" s="1385">
        <v>1.8594383830707768</v>
      </c>
      <c r="K85" s="1465">
        <v>42142</v>
      </c>
      <c r="L85" s="1466" t="s">
        <v>2125</v>
      </c>
      <c r="M85" s="1467">
        <v>4.9036999999999997E-2</v>
      </c>
      <c r="N85" s="1468">
        <v>1.0255321211811355</v>
      </c>
      <c r="O85" s="1468">
        <v>1.0255321211811355</v>
      </c>
    </row>
    <row r="86" spans="2:15">
      <c r="B86" s="1384">
        <v>35034</v>
      </c>
      <c r="C86" s="1385">
        <v>123.833</v>
      </c>
      <c r="D86" s="1385">
        <v>1244.23</v>
      </c>
      <c r="E86" s="1385">
        <v>1.0292086837764389</v>
      </c>
      <c r="F86" s="1385">
        <v>1.913750130803664</v>
      </c>
      <c r="K86" s="1465">
        <v>42143</v>
      </c>
      <c r="L86" s="1466" t="s">
        <v>2125</v>
      </c>
      <c r="M86" s="1467">
        <v>4.9036999999999997E-2</v>
      </c>
      <c r="N86" s="1468">
        <v>1.0260350113673991</v>
      </c>
      <c r="O86" s="1468">
        <v>1.0260350113673991</v>
      </c>
    </row>
    <row r="87" spans="2:15">
      <c r="B87" s="1384">
        <v>35065</v>
      </c>
      <c r="C87" s="1385">
        <v>125.977</v>
      </c>
      <c r="D87" s="1385">
        <v>1260.9000000000001</v>
      </c>
      <c r="E87" s="1385">
        <v>1.0271429062533448</v>
      </c>
      <c r="F87" s="1385">
        <v>1.9656948711963942</v>
      </c>
      <c r="K87" s="1465">
        <v>42144</v>
      </c>
      <c r="L87" s="1466" t="s">
        <v>2125</v>
      </c>
      <c r="M87" s="1467">
        <v>4.9036999999999997E-2</v>
      </c>
      <c r="N87" s="1468">
        <v>1.0265381481559233</v>
      </c>
      <c r="O87" s="1468">
        <v>1.0265381481559233</v>
      </c>
    </row>
    <row r="88" spans="2:15">
      <c r="B88" s="1384">
        <v>35096</v>
      </c>
      <c r="C88" s="1385">
        <v>127.202</v>
      </c>
      <c r="D88" s="1385">
        <v>1273.8900000000001</v>
      </c>
      <c r="E88" s="1385">
        <v>1.026088709032714</v>
      </c>
      <c r="F88" s="1385">
        <v>2.0169773127381352</v>
      </c>
      <c r="K88" s="1465">
        <v>42145</v>
      </c>
      <c r="L88" s="1466" t="s">
        <v>2125</v>
      </c>
      <c r="M88" s="1467">
        <v>4.9036999999999997E-2</v>
      </c>
      <c r="N88" s="1468">
        <v>1.0270415316676345</v>
      </c>
      <c r="O88" s="1468">
        <v>1.0270415316676345</v>
      </c>
    </row>
    <row r="89" spans="2:15">
      <c r="B89" s="1384">
        <v>35125</v>
      </c>
      <c r="C89" s="1385">
        <v>127.715</v>
      </c>
      <c r="D89" s="1385">
        <v>1278.3499999999999</v>
      </c>
      <c r="E89" s="1385">
        <v>1.0222082178682002</v>
      </c>
      <c r="F89" s="1385">
        <v>2.0617707843346404</v>
      </c>
      <c r="K89" s="1465">
        <v>42146</v>
      </c>
      <c r="L89" s="1466" t="s">
        <v>2125</v>
      </c>
      <c r="M89" s="1467">
        <v>4.9036999999999997E-2</v>
      </c>
      <c r="N89" s="1468">
        <v>1.0275451620235183</v>
      </c>
      <c r="O89" s="1468">
        <v>1.0275451620235183</v>
      </c>
    </row>
    <row r="90" spans="2:15">
      <c r="B90" s="1384">
        <v>35156</v>
      </c>
      <c r="C90" s="1385">
        <v>128.13</v>
      </c>
      <c r="D90" s="1385">
        <v>1294.46</v>
      </c>
      <c r="E90" s="1385">
        <v>1.0227569082086725</v>
      </c>
      <c r="F90" s="1385">
        <v>2.1086903128210666</v>
      </c>
      <c r="K90" s="1465">
        <v>42147</v>
      </c>
      <c r="L90" s="1466"/>
      <c r="M90" s="1467">
        <v>0</v>
      </c>
      <c r="N90" s="1468">
        <v>1.0275451620235183</v>
      </c>
      <c r="O90" s="1468">
        <v>1.0275451620235183</v>
      </c>
    </row>
    <row r="91" spans="2:15">
      <c r="B91" s="1384">
        <v>35186</v>
      </c>
      <c r="C91" s="1385">
        <v>130.12100000000001</v>
      </c>
      <c r="D91" s="1385">
        <v>1310.25</v>
      </c>
      <c r="E91" s="1385">
        <v>1.0210626514511167</v>
      </c>
      <c r="F91" s="1385">
        <v>2.1531049218983629</v>
      </c>
      <c r="K91" s="1465">
        <v>42148</v>
      </c>
      <c r="L91" s="1466"/>
      <c r="M91" s="1467">
        <v>0</v>
      </c>
      <c r="N91" s="1468">
        <v>1.0275451620235183</v>
      </c>
      <c r="O91" s="1468">
        <v>1.0275451620235183</v>
      </c>
    </row>
    <row r="92" spans="2:15">
      <c r="B92" s="1384">
        <v>35217</v>
      </c>
      <c r="C92" s="1385">
        <v>131.44499999999999</v>
      </c>
      <c r="D92" s="1385">
        <v>1325.84</v>
      </c>
      <c r="E92" s="1385">
        <v>1.020826552130859</v>
      </c>
      <c r="F92" s="1385">
        <v>2.1979466737974884</v>
      </c>
      <c r="K92" s="1465">
        <v>42149</v>
      </c>
      <c r="L92" s="1466" t="s">
        <v>2125</v>
      </c>
      <c r="M92" s="1467">
        <v>4.9036999999999997E-2</v>
      </c>
      <c r="N92" s="1468">
        <v>1.0280490393446198</v>
      </c>
      <c r="O92" s="1468">
        <v>1.0280490393446198</v>
      </c>
    </row>
    <row r="93" spans="2:15">
      <c r="B93" s="1384">
        <v>35247</v>
      </c>
      <c r="C93" s="1385">
        <v>133.21299999999999</v>
      </c>
      <c r="D93" s="1385">
        <v>1340.56</v>
      </c>
      <c r="E93" s="1385">
        <v>1.0192856968560815</v>
      </c>
      <c r="F93" s="1385">
        <v>2.2403356070541793</v>
      </c>
      <c r="K93" s="1465">
        <v>42150</v>
      </c>
      <c r="L93" s="1466" t="s">
        <v>2125</v>
      </c>
      <c r="M93" s="1467">
        <v>4.9036999999999997E-2</v>
      </c>
      <c r="N93" s="1468">
        <v>1.0285531637520433</v>
      </c>
      <c r="O93" s="1468">
        <v>1.0285531637520433</v>
      </c>
    </row>
    <row r="94" spans="2:15">
      <c r="B94" s="1384">
        <v>35278</v>
      </c>
      <c r="C94" s="1385">
        <v>133.58699999999999</v>
      </c>
      <c r="D94" s="1385">
        <v>1346.46</v>
      </c>
      <c r="E94" s="1385">
        <v>1.0196791435025818</v>
      </c>
      <c r="F94" s="1385">
        <v>2.2844234929593421</v>
      </c>
      <c r="K94" s="1465">
        <v>42151</v>
      </c>
      <c r="L94" s="1466" t="s">
        <v>2125</v>
      </c>
      <c r="M94" s="1467">
        <v>4.9036999999999997E-2</v>
      </c>
      <c r="N94" s="1468">
        <v>1.0290575353669524</v>
      </c>
      <c r="O94" s="1468">
        <v>1.0290575353669524</v>
      </c>
    </row>
    <row r="95" spans="2:15">
      <c r="B95" s="1384">
        <v>35309</v>
      </c>
      <c r="C95" s="1385">
        <v>133.72200000000001</v>
      </c>
      <c r="D95" s="1385">
        <v>1348.48</v>
      </c>
      <c r="E95" s="1385">
        <v>1.0190405257020327</v>
      </c>
      <c r="F95" s="1385">
        <v>2.3279201171913617</v>
      </c>
      <c r="K95" s="1465">
        <v>42152</v>
      </c>
      <c r="L95" s="1466" t="s">
        <v>2125</v>
      </c>
      <c r="M95" s="1467">
        <v>4.9036999999999997E-2</v>
      </c>
      <c r="N95" s="1468">
        <v>1.0295621543105704</v>
      </c>
      <c r="O95" s="1468">
        <v>1.0295621543105704</v>
      </c>
    </row>
    <row r="96" spans="2:15">
      <c r="B96" s="1384">
        <v>35339</v>
      </c>
      <c r="C96" s="1385">
        <v>133.97800000000001</v>
      </c>
      <c r="D96" s="1385">
        <v>1352.53</v>
      </c>
      <c r="E96" s="1385">
        <v>1.0194350405573067</v>
      </c>
      <c r="F96" s="1385">
        <v>2.3731633390831459</v>
      </c>
      <c r="K96" s="1465">
        <v>42153</v>
      </c>
      <c r="L96" s="1466" t="s">
        <v>2125</v>
      </c>
      <c r="M96" s="1467">
        <v>4.9036999999999997E-2</v>
      </c>
      <c r="N96" s="1468">
        <v>1.0300670207041798</v>
      </c>
      <c r="O96" s="1468">
        <v>1.0300670207041798</v>
      </c>
    </row>
    <row r="97" spans="2:15">
      <c r="B97" s="1384">
        <v>35370</v>
      </c>
      <c r="C97" s="1385">
        <v>134.24199999999999</v>
      </c>
      <c r="D97" s="1385">
        <v>1356.86</v>
      </c>
      <c r="E97" s="1385">
        <v>1.018952291397875</v>
      </c>
      <c r="F97" s="1385">
        <v>2.4181402222202037</v>
      </c>
      <c r="K97" s="1465">
        <v>42154</v>
      </c>
      <c r="L97" s="1466"/>
      <c r="M97" s="1467">
        <v>0</v>
      </c>
      <c r="N97" s="1468">
        <v>1.0300670207041798</v>
      </c>
      <c r="O97" s="1468">
        <v>1.0300670207041798</v>
      </c>
    </row>
    <row r="98" spans="2:15">
      <c r="B98" s="1384">
        <v>35400</v>
      </c>
      <c r="C98" s="1385">
        <v>135.22499999999999</v>
      </c>
      <c r="D98" s="1385">
        <v>1363.24</v>
      </c>
      <c r="E98" s="1385">
        <v>1.0189221360623306</v>
      </c>
      <c r="F98" s="1385">
        <v>2.4638966005228489</v>
      </c>
      <c r="K98" s="1465">
        <v>42155</v>
      </c>
      <c r="L98" s="1466"/>
      <c r="M98" s="1467">
        <v>0</v>
      </c>
      <c r="N98" s="1468">
        <v>1.0300670207041798</v>
      </c>
      <c r="O98" s="1468">
        <v>1.0300670207041798</v>
      </c>
    </row>
    <row r="99" spans="2:15">
      <c r="B99" s="1384">
        <v>35431</v>
      </c>
      <c r="C99" s="1385">
        <v>137.613</v>
      </c>
      <c r="D99" s="1385">
        <v>1379.33</v>
      </c>
      <c r="E99" s="1385">
        <v>1.0182168360386268</v>
      </c>
      <c r="F99" s="1385">
        <v>2.5087810009107034</v>
      </c>
      <c r="K99" s="1465">
        <v>42156</v>
      </c>
      <c r="L99" s="1466" t="s">
        <v>2125</v>
      </c>
      <c r="M99" s="1467">
        <v>4.9036999999999997E-2</v>
      </c>
      <c r="N99" s="1468">
        <v>1.0305721346691226</v>
      </c>
      <c r="O99" s="1468">
        <v>1.0305721346691226</v>
      </c>
    </row>
    <row r="100" spans="2:15">
      <c r="B100" s="1384">
        <v>35462</v>
      </c>
      <c r="C100" s="1385">
        <v>138.20400000000001</v>
      </c>
      <c r="D100" s="1385">
        <v>1386.23</v>
      </c>
      <c r="E100" s="1385">
        <v>1.018615977536991</v>
      </c>
      <c r="F100" s="1385">
        <v>2.5554844116688868</v>
      </c>
      <c r="K100" s="1465">
        <v>42157</v>
      </c>
      <c r="L100" s="1466" t="s">
        <v>2125</v>
      </c>
      <c r="M100" s="1467">
        <v>4.9036999999999997E-2</v>
      </c>
      <c r="N100" s="1468">
        <v>1.0310774963268003</v>
      </c>
      <c r="O100" s="1468">
        <v>1.0310774963268003</v>
      </c>
    </row>
    <row r="101" spans="2:15">
      <c r="B101" s="1384">
        <v>35490</v>
      </c>
      <c r="C101" s="1385">
        <v>139.79499999999999</v>
      </c>
      <c r="D101" s="1385">
        <v>1393.3</v>
      </c>
      <c r="E101" s="1385">
        <v>1.0181653196053577</v>
      </c>
      <c r="F101" s="1385">
        <v>2.6019056027533618</v>
      </c>
      <c r="K101" s="1465">
        <v>42158</v>
      </c>
      <c r="L101" s="1466" t="s">
        <v>2125</v>
      </c>
      <c r="M101" s="1467">
        <v>4.9036999999999997E-2</v>
      </c>
      <c r="N101" s="1468">
        <v>1.0315831057986742</v>
      </c>
      <c r="O101" s="1468">
        <v>1.0315831057986742</v>
      </c>
    </row>
    <row r="102" spans="2:15">
      <c r="B102" s="1384">
        <v>35521</v>
      </c>
      <c r="C102" s="1385">
        <v>140.74199999999999</v>
      </c>
      <c r="D102" s="1385">
        <v>1405.56</v>
      </c>
      <c r="E102" s="1385">
        <v>1.0174130782041242</v>
      </c>
      <c r="F102" s="1385">
        <v>2.6472127884938548</v>
      </c>
      <c r="K102" s="1465">
        <v>42159</v>
      </c>
      <c r="L102" s="1466"/>
      <c r="M102" s="1467">
        <v>0</v>
      </c>
      <c r="N102" s="1468">
        <v>1.0315831057986742</v>
      </c>
      <c r="O102" s="1468">
        <v>1.0315831057986742</v>
      </c>
    </row>
    <row r="103" spans="2:15">
      <c r="B103" s="1384">
        <v>35551</v>
      </c>
      <c r="C103" s="1385">
        <v>141.04</v>
      </c>
      <c r="D103" s="1385">
        <v>1411.32</v>
      </c>
      <c r="E103" s="1385">
        <v>1.0173859708262292</v>
      </c>
      <c r="F103" s="1385">
        <v>2.6932371528054295</v>
      </c>
      <c r="K103" s="1465">
        <v>42160</v>
      </c>
      <c r="L103" s="1466" t="s">
        <v>2125</v>
      </c>
      <c r="M103" s="1467">
        <v>5.0788E-2</v>
      </c>
      <c r="N103" s="1468">
        <v>1.0321070262264471</v>
      </c>
      <c r="O103" s="1468">
        <v>1.0321070262264471</v>
      </c>
    </row>
    <row r="104" spans="2:15">
      <c r="B104" s="1384">
        <v>35582</v>
      </c>
      <c r="C104" s="1385">
        <v>142.09</v>
      </c>
      <c r="D104" s="1385">
        <v>1418.94</v>
      </c>
      <c r="E104" s="1385">
        <v>1.0160683269749473</v>
      </c>
      <c r="F104" s="1385">
        <v>2.7365129679977831</v>
      </c>
      <c r="K104" s="1465">
        <v>42161</v>
      </c>
      <c r="L104" s="1466"/>
      <c r="M104" s="1467">
        <v>0</v>
      </c>
      <c r="N104" s="1468">
        <v>1.0321070262264471</v>
      </c>
      <c r="O104" s="1468">
        <v>1.0321070262264471</v>
      </c>
    </row>
    <row r="105" spans="2:15">
      <c r="B105" s="1384">
        <v>35612</v>
      </c>
      <c r="C105" s="1385">
        <v>142.221</v>
      </c>
      <c r="D105" s="1385">
        <v>1422.06</v>
      </c>
      <c r="E105" s="1385">
        <v>1.0160384417373229</v>
      </c>
      <c r="F105" s="1385">
        <v>2.7804023717984441</v>
      </c>
      <c r="K105" s="1465">
        <v>42162</v>
      </c>
      <c r="L105" s="1466"/>
      <c r="M105" s="1467">
        <v>0</v>
      </c>
      <c r="N105" s="1468">
        <v>1.0321070262264471</v>
      </c>
      <c r="O105" s="1468">
        <v>1.0321070262264471</v>
      </c>
    </row>
    <row r="106" spans="2:15">
      <c r="B106" s="1384">
        <v>35643</v>
      </c>
      <c r="C106" s="1385">
        <v>142.35300000000001</v>
      </c>
      <c r="D106" s="1385">
        <v>1421.78</v>
      </c>
      <c r="E106" s="1385">
        <v>1.0158585469231169</v>
      </c>
      <c r="F106" s="1385">
        <v>2.8244955132767555</v>
      </c>
      <c r="K106" s="1465">
        <v>42163</v>
      </c>
      <c r="L106" s="1466" t="s">
        <v>2125</v>
      </c>
      <c r="M106" s="1467">
        <v>5.0788E-2</v>
      </c>
      <c r="N106" s="1468">
        <v>1.0326312127429271</v>
      </c>
      <c r="O106" s="1468">
        <v>1.0326312127429271</v>
      </c>
    </row>
    <row r="107" spans="2:15">
      <c r="B107" s="1384">
        <v>35674</v>
      </c>
      <c r="C107" s="1385">
        <v>143.042</v>
      </c>
      <c r="D107" s="1385">
        <v>1422.63</v>
      </c>
      <c r="E107" s="1385">
        <v>1.0159028051900765</v>
      </c>
      <c r="F107" s="1385">
        <v>2.869412915184641</v>
      </c>
      <c r="K107" s="1465">
        <v>42164</v>
      </c>
      <c r="L107" s="1466" t="s">
        <v>2125</v>
      </c>
      <c r="M107" s="1467">
        <v>5.0788E-2</v>
      </c>
      <c r="N107" s="1468">
        <v>1.033155665483255</v>
      </c>
      <c r="O107" s="1468">
        <v>1.033155665483255</v>
      </c>
    </row>
    <row r="108" spans="2:15">
      <c r="B108" s="1384">
        <v>35704</v>
      </c>
      <c r="C108" s="1385">
        <v>143.56700000000001</v>
      </c>
      <c r="D108" s="1385">
        <v>1425.9</v>
      </c>
      <c r="E108" s="1385">
        <v>1.0167288802763557</v>
      </c>
      <c r="F108" s="1385">
        <v>2.9174149803061935</v>
      </c>
      <c r="K108" s="1465">
        <v>42165</v>
      </c>
      <c r="L108" s="1466" t="s">
        <v>2125</v>
      </c>
      <c r="M108" s="1467">
        <v>5.0788E-2</v>
      </c>
      <c r="N108" s="1468">
        <v>1.0336803845826406</v>
      </c>
      <c r="O108" s="1468">
        <v>1.0336803845826406</v>
      </c>
    </row>
    <row r="109" spans="2:15">
      <c r="B109" s="1384">
        <v>35735</v>
      </c>
      <c r="C109" s="1385">
        <v>144.48099999999999</v>
      </c>
      <c r="D109" s="1385">
        <v>1428.32</v>
      </c>
      <c r="E109" s="1385">
        <v>1.0304347964479648</v>
      </c>
      <c r="F109" s="1385">
        <v>3.0062059113860555</v>
      </c>
      <c r="K109" s="1465">
        <v>42166</v>
      </c>
      <c r="L109" s="1466" t="s">
        <v>2125</v>
      </c>
      <c r="M109" s="1467">
        <v>5.0788E-2</v>
      </c>
      <c r="N109" s="1468">
        <v>1.0342053701763625</v>
      </c>
      <c r="O109" s="1468">
        <v>1.0342053701763625</v>
      </c>
    </row>
    <row r="110" spans="2:15">
      <c r="B110" s="1384">
        <v>35765</v>
      </c>
      <c r="C110" s="1385">
        <v>145.69499999999999</v>
      </c>
      <c r="D110" s="1385">
        <v>1434.46</v>
      </c>
      <c r="E110" s="1385">
        <v>1.0311549813439238</v>
      </c>
      <c r="F110" s="1385">
        <v>3.0998642004712815</v>
      </c>
      <c r="K110" s="1465">
        <v>42167</v>
      </c>
      <c r="L110" s="1466" t="s">
        <v>2125</v>
      </c>
      <c r="M110" s="1467">
        <v>5.0788E-2</v>
      </c>
      <c r="N110" s="1468">
        <v>1.0347306223997677</v>
      </c>
      <c r="O110" s="1468">
        <v>1.0347306223997677</v>
      </c>
    </row>
    <row r="111" spans="2:15">
      <c r="B111" s="1384">
        <v>35796</v>
      </c>
      <c r="C111" s="1385">
        <v>147.09100000000001</v>
      </c>
      <c r="D111" s="1385">
        <v>1444.64</v>
      </c>
      <c r="E111" s="1385">
        <v>1.0280960413836384</v>
      </c>
      <c r="F111" s="1385">
        <v>3.1869581133313818</v>
      </c>
      <c r="K111" s="1465">
        <v>42168</v>
      </c>
      <c r="L111" s="1466"/>
      <c r="M111" s="1467">
        <v>0</v>
      </c>
      <c r="N111" s="1468">
        <v>1.0347306223997677</v>
      </c>
      <c r="O111" s="1468">
        <v>1.0347306223997677</v>
      </c>
    </row>
    <row r="112" spans="2:15">
      <c r="B112" s="1384">
        <v>35827</v>
      </c>
      <c r="C112" s="1385">
        <v>147.35599999999999</v>
      </c>
      <c r="D112" s="1385">
        <v>1451.29</v>
      </c>
      <c r="E112" s="1385">
        <v>1.0236711069024262</v>
      </c>
      <c r="F112" s="1385">
        <v>3.2623969395256034</v>
      </c>
      <c r="K112" s="1465">
        <v>42169</v>
      </c>
      <c r="L112" s="1466"/>
      <c r="M112" s="1467">
        <v>0</v>
      </c>
      <c r="N112" s="1468">
        <v>1.0347306223997677</v>
      </c>
      <c r="O112" s="1468">
        <v>1.0347306223997677</v>
      </c>
    </row>
    <row r="113" spans="2:15">
      <c r="B113" s="1384">
        <v>35855</v>
      </c>
      <c r="C113" s="1385">
        <v>147.63499999999999</v>
      </c>
      <c r="D113" s="1385">
        <v>1456.22</v>
      </c>
      <c r="E113" s="1385">
        <v>1.0220072916308196</v>
      </c>
      <c r="F113" s="1385">
        <v>3.3341934603892365</v>
      </c>
      <c r="K113" s="1465">
        <v>42170</v>
      </c>
      <c r="L113" s="1466" t="s">
        <v>2125</v>
      </c>
      <c r="M113" s="1467">
        <v>5.0788E-2</v>
      </c>
      <c r="N113" s="1468">
        <v>1.0352561413882722</v>
      </c>
      <c r="O113" s="1468">
        <v>1.0352561413882722</v>
      </c>
    </row>
    <row r="114" spans="2:15">
      <c r="B114" s="1384">
        <v>35886</v>
      </c>
      <c r="C114" s="1385">
        <v>147.821</v>
      </c>
      <c r="D114" s="1385">
        <v>1459.71</v>
      </c>
      <c r="E114" s="1385">
        <v>1.0199031041694671</v>
      </c>
      <c r="F114" s="1385">
        <v>3.4005542601525192</v>
      </c>
      <c r="K114" s="1465">
        <v>42171</v>
      </c>
      <c r="L114" s="1466" t="s">
        <v>2125</v>
      </c>
      <c r="M114" s="1467">
        <v>5.0788E-2</v>
      </c>
      <c r="N114" s="1468">
        <v>1.0357819272773605</v>
      </c>
      <c r="O114" s="1468">
        <v>1.0357819272773605</v>
      </c>
    </row>
    <row r="115" spans="2:15">
      <c r="B115" s="1384">
        <v>35916</v>
      </c>
      <c r="C115" s="1385">
        <v>148.02099999999999</v>
      </c>
      <c r="D115" s="1385">
        <v>1467.01</v>
      </c>
      <c r="E115" s="1385">
        <v>1.0171306475499944</v>
      </c>
      <c r="F115" s="1385">
        <v>3.4588079566578238</v>
      </c>
      <c r="K115" s="1465">
        <v>42172</v>
      </c>
      <c r="L115" s="1466" t="s">
        <v>2125</v>
      </c>
      <c r="M115" s="1467">
        <v>5.0788E-2</v>
      </c>
      <c r="N115" s="1468">
        <v>1.0363079802025861</v>
      </c>
      <c r="O115" s="1468">
        <v>1.0363079802025861</v>
      </c>
    </row>
    <row r="116" spans="2:15">
      <c r="B116" s="1384">
        <v>35947</v>
      </c>
      <c r="C116" s="1385">
        <v>148.58799999999999</v>
      </c>
      <c r="D116" s="1385">
        <v>1467.3</v>
      </c>
      <c r="E116" s="1385">
        <v>1.0167959651913006</v>
      </c>
      <c r="F116" s="1385">
        <v>3.5169019747012422</v>
      </c>
      <c r="K116" s="1465">
        <v>42173</v>
      </c>
      <c r="L116" s="1466" t="s">
        <v>2125</v>
      </c>
      <c r="M116" s="1467">
        <v>5.0788E-2</v>
      </c>
      <c r="N116" s="1468">
        <v>1.0368343002995715</v>
      </c>
      <c r="O116" s="1468">
        <v>1.0368343002995715</v>
      </c>
    </row>
    <row r="117" spans="2:15">
      <c r="B117" s="1384">
        <v>35977</v>
      </c>
      <c r="C117" s="1385">
        <v>148.339</v>
      </c>
      <c r="D117" s="1385">
        <v>1465.54</v>
      </c>
      <c r="E117" s="1385">
        <v>1.0170373206405035</v>
      </c>
      <c r="F117" s="1385">
        <v>3.5768205613054471</v>
      </c>
      <c r="K117" s="1465">
        <v>42174</v>
      </c>
      <c r="L117" s="1466" t="s">
        <v>2125</v>
      </c>
      <c r="M117" s="1467">
        <v>5.0788E-2</v>
      </c>
      <c r="N117" s="1468">
        <v>1.0373608877040077</v>
      </c>
      <c r="O117" s="1468">
        <v>1.0373608877040077</v>
      </c>
    </row>
    <row r="118" spans="2:15">
      <c r="B118" s="1384">
        <v>36008</v>
      </c>
      <c r="C118" s="1385">
        <v>148.10900000000001</v>
      </c>
      <c r="D118" s="1385">
        <v>1458.07</v>
      </c>
      <c r="E118" s="1385">
        <v>1.0147631694962493</v>
      </c>
      <c r="F118" s="1385">
        <v>3.6296257695096692</v>
      </c>
      <c r="K118" s="1465">
        <v>42175</v>
      </c>
      <c r="L118" s="1466"/>
      <c r="M118" s="1467">
        <v>0</v>
      </c>
      <c r="N118" s="1468">
        <v>1.0373608877040077</v>
      </c>
      <c r="O118" s="1468">
        <v>1.0373608877040077</v>
      </c>
    </row>
    <row r="119" spans="2:15">
      <c r="B119" s="1384">
        <v>36039</v>
      </c>
      <c r="C119" s="1385">
        <v>147.98400000000001</v>
      </c>
      <c r="D119" s="1385">
        <v>1454.86</v>
      </c>
      <c r="E119" s="1385">
        <v>1.0255896332244516</v>
      </c>
      <c r="F119" s="1385">
        <v>3.7225065616934394</v>
      </c>
      <c r="K119" s="1465">
        <v>42176</v>
      </c>
      <c r="L119" s="1466"/>
      <c r="M119" s="1467">
        <v>0</v>
      </c>
      <c r="N119" s="1468">
        <v>1.0373608877040077</v>
      </c>
      <c r="O119" s="1468">
        <v>1.0373608877040077</v>
      </c>
    </row>
    <row r="120" spans="2:15">
      <c r="B120" s="1384">
        <v>36069</v>
      </c>
      <c r="C120" s="1385">
        <v>148.1</v>
      </c>
      <c r="D120" s="1385">
        <v>1455.15</v>
      </c>
      <c r="E120" s="1385">
        <v>1.0308188720930029</v>
      </c>
      <c r="F120" s="1385">
        <v>3.8372300152836338</v>
      </c>
      <c r="K120" s="1465">
        <v>42177</v>
      </c>
      <c r="L120" s="1466" t="s">
        <v>2125</v>
      </c>
      <c r="M120" s="1467">
        <v>5.0788E-2</v>
      </c>
      <c r="N120" s="1468">
        <v>1.0378877425516548</v>
      </c>
      <c r="O120" s="1468">
        <v>1.0378877425516548</v>
      </c>
    </row>
    <row r="121" spans="2:15">
      <c r="B121" s="1384">
        <v>36100</v>
      </c>
      <c r="C121" s="1385">
        <v>147.62799999999999</v>
      </c>
      <c r="D121" s="1385">
        <v>1453.4</v>
      </c>
      <c r="E121" s="1385">
        <v>1.0277678356785036</v>
      </c>
      <c r="F121" s="1385">
        <v>3.9437815878086515</v>
      </c>
      <c r="K121" s="1465">
        <v>42178</v>
      </c>
      <c r="L121" s="1466" t="s">
        <v>2125</v>
      </c>
      <c r="M121" s="1467">
        <v>5.0788E-2</v>
      </c>
      <c r="N121" s="1468">
        <v>1.038414864978342</v>
      </c>
      <c r="O121" s="1468">
        <v>1.038414864978342</v>
      </c>
    </row>
    <row r="122" spans="2:15">
      <c r="B122" s="1384">
        <v>36130</v>
      </c>
      <c r="C122" s="1385">
        <v>148.291</v>
      </c>
      <c r="D122" s="1385">
        <v>1458.2</v>
      </c>
      <c r="E122" s="1385">
        <v>1.025049538167373</v>
      </c>
      <c r="F122" s="1385">
        <v>4.0425714952162473</v>
      </c>
      <c r="K122" s="1465">
        <v>42179</v>
      </c>
      <c r="L122" s="1466" t="s">
        <v>2125</v>
      </c>
      <c r="M122" s="1467">
        <v>5.0788E-2</v>
      </c>
      <c r="N122" s="1468">
        <v>1.0389422551199672</v>
      </c>
      <c r="O122" s="1468">
        <v>1.0389422551199672</v>
      </c>
    </row>
    <row r="123" spans="2:15">
      <c r="B123" s="1384">
        <v>36161</v>
      </c>
      <c r="C123" s="1385">
        <v>149.53299999999999</v>
      </c>
      <c r="D123" s="1385">
        <v>1468.41</v>
      </c>
      <c r="E123" s="1385">
        <v>1.022811290449001</v>
      </c>
      <c r="F123" s="1385">
        <v>4.1347877677544771</v>
      </c>
      <c r="K123" s="1465">
        <v>42180</v>
      </c>
      <c r="L123" s="1466" t="s">
        <v>2125</v>
      </c>
      <c r="M123" s="1467">
        <v>5.0788E-2</v>
      </c>
      <c r="N123" s="1468">
        <v>1.0394699131124976</v>
      </c>
      <c r="O123" s="1468">
        <v>1.0394699131124976</v>
      </c>
    </row>
    <row r="124" spans="2:15">
      <c r="B124" s="1384">
        <v>36192</v>
      </c>
      <c r="C124" s="1385">
        <v>154.93299999999999</v>
      </c>
      <c r="D124" s="1385">
        <v>1483.83</v>
      </c>
      <c r="E124" s="1385">
        <v>1.0264662861429437</v>
      </c>
      <c r="F124" s="1385">
        <v>4.2442202439562102</v>
      </c>
      <c r="K124" s="1465">
        <v>42181</v>
      </c>
      <c r="L124" s="1466" t="s">
        <v>2125</v>
      </c>
      <c r="M124" s="1467">
        <v>5.0788E-2</v>
      </c>
      <c r="N124" s="1468">
        <v>1.0399978390919691</v>
      </c>
      <c r="O124" s="1468">
        <v>1.0399978390919691</v>
      </c>
    </row>
    <row r="125" spans="2:15">
      <c r="B125" s="1384">
        <v>36220</v>
      </c>
      <c r="C125" s="1385">
        <v>159.32499999999999</v>
      </c>
      <c r="D125" s="1385">
        <v>1500.15</v>
      </c>
      <c r="E125" s="1385">
        <v>1.033345195070198</v>
      </c>
      <c r="F125" s="1385">
        <v>4.3857445959118131</v>
      </c>
      <c r="K125" s="1465">
        <v>42182</v>
      </c>
      <c r="L125" s="1466"/>
      <c r="M125" s="1467">
        <v>0</v>
      </c>
      <c r="N125" s="1468">
        <v>1.0399978390919691</v>
      </c>
      <c r="O125" s="1468">
        <v>1.0399978390919691</v>
      </c>
    </row>
    <row r="126" spans="2:15">
      <c r="B126" s="1384">
        <v>36251</v>
      </c>
      <c r="C126" s="1385">
        <v>160.459</v>
      </c>
      <c r="D126" s="1385">
        <v>1508.55</v>
      </c>
      <c r="E126" s="1385">
        <v>1.027563660965396</v>
      </c>
      <c r="F126" s="1385">
        <v>4.5066317730343437</v>
      </c>
      <c r="K126" s="1465">
        <v>42183</v>
      </c>
      <c r="L126" s="1466"/>
      <c r="M126" s="1467">
        <v>0</v>
      </c>
      <c r="N126" s="1468">
        <v>1.0399978390919691</v>
      </c>
      <c r="O126" s="1468">
        <v>1.0399978390919691</v>
      </c>
    </row>
    <row r="127" spans="2:15">
      <c r="B127" s="1384">
        <v>36281</v>
      </c>
      <c r="C127" s="1385">
        <v>159.99600000000001</v>
      </c>
      <c r="D127" s="1385">
        <v>1513.08</v>
      </c>
      <c r="E127" s="1385">
        <v>1.0201883000304468</v>
      </c>
      <c r="F127" s="1385">
        <v>4.5976130073951058</v>
      </c>
      <c r="K127" s="1465">
        <v>42184</v>
      </c>
      <c r="L127" s="1466" t="s">
        <v>2125</v>
      </c>
      <c r="M127" s="1467">
        <v>5.0788E-2</v>
      </c>
      <c r="N127" s="1468">
        <v>1.0405260331944872</v>
      </c>
      <c r="O127" s="1468">
        <v>1.0405260331944872</v>
      </c>
    </row>
    <row r="128" spans="2:15">
      <c r="B128" s="1384">
        <v>36312</v>
      </c>
      <c r="C128" s="1385">
        <v>160.57300000000001</v>
      </c>
      <c r="D128" s="1385">
        <v>1515.95</v>
      </c>
      <c r="E128" s="1385">
        <v>1.0175637707499077</v>
      </c>
      <c r="F128" s="1385">
        <v>4.6783644282537873</v>
      </c>
      <c r="K128" s="1465">
        <v>42185</v>
      </c>
      <c r="L128" s="1466" t="s">
        <v>2125</v>
      </c>
      <c r="M128" s="1467">
        <v>5.0788E-2</v>
      </c>
      <c r="N128" s="1468">
        <v>1.041054495556226</v>
      </c>
      <c r="O128" s="1468">
        <v>1.041054495556226</v>
      </c>
    </row>
    <row r="129" spans="2:15">
      <c r="B129" s="1384">
        <v>36342</v>
      </c>
      <c r="C129" s="1385">
        <v>163.06</v>
      </c>
      <c r="D129" s="1385">
        <v>1532.47</v>
      </c>
      <c r="E129" s="1385">
        <v>1.0165876375704719</v>
      </c>
      <c r="F129" s="1385">
        <v>4.7559674418122491</v>
      </c>
      <c r="K129" s="1465">
        <v>42186</v>
      </c>
      <c r="L129" s="1466" t="s">
        <v>2125</v>
      </c>
      <c r="M129" s="1467">
        <v>5.0788E-2</v>
      </c>
      <c r="N129" s="1468">
        <v>1.041583226313429</v>
      </c>
      <c r="O129" s="1468">
        <v>1.041583226313429</v>
      </c>
    </row>
    <row r="130" spans="2:15">
      <c r="B130" s="1384">
        <v>36373</v>
      </c>
      <c r="C130" s="1385">
        <v>165.60300000000001</v>
      </c>
      <c r="D130" s="1385">
        <v>1541.05</v>
      </c>
      <c r="E130" s="1385">
        <v>1.0156847483880824</v>
      </c>
      <c r="F130" s="1385">
        <v>4.8305635944789866</v>
      </c>
      <c r="K130" s="1465">
        <v>42187</v>
      </c>
      <c r="L130" s="1466" t="s">
        <v>2125</v>
      </c>
      <c r="M130" s="1467">
        <v>5.0788E-2</v>
      </c>
      <c r="N130" s="1468">
        <v>1.0421122256024091</v>
      </c>
      <c r="O130" s="1468">
        <v>1.0421122256024091</v>
      </c>
    </row>
    <row r="131" spans="2:15">
      <c r="B131" s="1384">
        <v>36404</v>
      </c>
      <c r="C131" s="1385">
        <v>167.99700000000001</v>
      </c>
      <c r="D131" s="1385">
        <v>1545.83</v>
      </c>
      <c r="E131" s="1385">
        <v>1.0155901672784533</v>
      </c>
      <c r="F131" s="1385">
        <v>4.9058728889661207</v>
      </c>
      <c r="K131" s="1465">
        <v>42188</v>
      </c>
      <c r="L131" s="1466" t="s">
        <v>2125</v>
      </c>
      <c r="M131" s="1467">
        <v>5.0788E-2</v>
      </c>
      <c r="N131" s="1468">
        <v>1.042641493559548</v>
      </c>
      <c r="O131" s="1468">
        <v>1.042641493559548</v>
      </c>
    </row>
    <row r="132" spans="2:15">
      <c r="B132" s="1384">
        <v>36434</v>
      </c>
      <c r="C132" s="1385">
        <v>170.86099999999999</v>
      </c>
      <c r="D132" s="1385">
        <v>1564.23</v>
      </c>
      <c r="E132" s="1385">
        <v>1.0145370189540868</v>
      </c>
      <c r="F132" s="1385">
        <v>4.9771896561393616</v>
      </c>
      <c r="K132" s="1465">
        <v>42189</v>
      </c>
      <c r="L132" s="1466"/>
      <c r="M132" s="1467">
        <v>0</v>
      </c>
      <c r="N132" s="1468">
        <v>1.042641493559548</v>
      </c>
      <c r="O132" s="1468">
        <v>1.042641493559548</v>
      </c>
    </row>
    <row r="133" spans="2:15">
      <c r="B133" s="1384">
        <v>36465</v>
      </c>
      <c r="C133" s="1385">
        <v>174.93899999999999</v>
      </c>
      <c r="D133" s="1385">
        <v>1579.09</v>
      </c>
      <c r="E133" s="1385">
        <v>1.0152599173733607</v>
      </c>
      <c r="F133" s="1385">
        <v>5.0531411590435944</v>
      </c>
      <c r="K133" s="1465">
        <v>42190</v>
      </c>
      <c r="L133" s="1466"/>
      <c r="M133" s="1467">
        <v>0</v>
      </c>
      <c r="N133" s="1468">
        <v>1.042641493559548</v>
      </c>
      <c r="O133" s="1468">
        <v>1.042641493559548</v>
      </c>
    </row>
    <row r="134" spans="2:15">
      <c r="B134" s="1384">
        <v>36495</v>
      </c>
      <c r="C134" s="1385">
        <v>178.09899999999999</v>
      </c>
      <c r="D134" s="1385">
        <v>1588.56</v>
      </c>
      <c r="E134" s="1385">
        <v>1.0159962861507461</v>
      </c>
      <c r="F134" s="1385">
        <v>5.1339726509837682</v>
      </c>
      <c r="K134" s="1465">
        <v>42191</v>
      </c>
      <c r="L134" s="1466" t="s">
        <v>2125</v>
      </c>
      <c r="M134" s="1467">
        <v>5.0788E-2</v>
      </c>
      <c r="N134" s="1468">
        <v>1.0431710303212971</v>
      </c>
      <c r="O134" s="1468">
        <v>1.0431710303212971</v>
      </c>
    </row>
    <row r="135" spans="2:15">
      <c r="B135" s="1384">
        <v>36526</v>
      </c>
      <c r="C135" s="1385">
        <v>180.30099999999999</v>
      </c>
      <c r="D135" s="1385">
        <v>1598.41</v>
      </c>
      <c r="E135" s="1385">
        <v>1.0145573263269665</v>
      </c>
      <c r="F135" s="1385">
        <v>5.20870956621786</v>
      </c>
      <c r="K135" s="1465">
        <v>42192</v>
      </c>
      <c r="L135" s="1466" t="s">
        <v>2125</v>
      </c>
      <c r="M135" s="1467">
        <v>5.0788E-2</v>
      </c>
      <c r="N135" s="1468">
        <v>1.0437008360241766</v>
      </c>
      <c r="O135" s="1468">
        <v>1.0437008360241766</v>
      </c>
    </row>
    <row r="136" spans="2:15">
      <c r="B136" s="1384">
        <v>36557</v>
      </c>
      <c r="C136" s="1385">
        <v>180.935</v>
      </c>
      <c r="D136" s="1385">
        <v>1600.49</v>
      </c>
      <c r="E136" s="1385">
        <v>1.0145089461247463</v>
      </c>
      <c r="F136" s="1385">
        <v>5.2842824526935654</v>
      </c>
      <c r="K136" s="1465">
        <v>42193</v>
      </c>
      <c r="L136" s="1466" t="s">
        <v>2125</v>
      </c>
      <c r="M136" s="1467">
        <v>5.0788E-2</v>
      </c>
      <c r="N136" s="1468">
        <v>1.0442309108047767</v>
      </c>
      <c r="O136" s="1468">
        <v>1.0442309108047767</v>
      </c>
    </row>
    <row r="137" spans="2:15">
      <c r="B137" s="1384">
        <v>36586</v>
      </c>
      <c r="C137" s="1385">
        <v>181.214</v>
      </c>
      <c r="D137" s="1385">
        <v>1604.01</v>
      </c>
      <c r="E137" s="1385">
        <v>1.0158860407835757</v>
      </c>
      <c r="F137" s="1385">
        <v>5.3682287792489891</v>
      </c>
      <c r="K137" s="1465">
        <v>42194</v>
      </c>
      <c r="L137" s="1466" t="s">
        <v>2125</v>
      </c>
      <c r="M137" s="1467">
        <v>5.0788E-2</v>
      </c>
      <c r="N137" s="1468">
        <v>1.0447612547997562</v>
      </c>
      <c r="O137" s="1468">
        <v>1.0447612547997562</v>
      </c>
    </row>
    <row r="138" spans="2:15">
      <c r="B138" s="1384">
        <v>36617</v>
      </c>
      <c r="C138" s="1385">
        <v>181.63499999999999</v>
      </c>
      <c r="D138" s="1385">
        <v>1610.75</v>
      </c>
      <c r="E138" s="1385">
        <v>1.0136441914221253</v>
      </c>
      <c r="F138" s="1385">
        <v>5.4414739203108242</v>
      </c>
      <c r="K138" s="1465">
        <v>42195</v>
      </c>
      <c r="L138" s="1466" t="s">
        <v>2125</v>
      </c>
      <c r="M138" s="1467">
        <v>5.0788E-2</v>
      </c>
      <c r="N138" s="1468">
        <v>1.0452918681458438</v>
      </c>
      <c r="O138" s="1468">
        <v>1.0452918681458438</v>
      </c>
    </row>
    <row r="139" spans="2:15">
      <c r="B139" s="1384">
        <v>36647</v>
      </c>
      <c r="C139" s="1385">
        <v>182.18899999999999</v>
      </c>
      <c r="D139" s="1385">
        <v>1610.91</v>
      </c>
      <c r="E139" s="1385">
        <v>1.0156265899953318</v>
      </c>
      <c r="F139" s="1385">
        <v>5.5265056022338124</v>
      </c>
      <c r="K139" s="1465">
        <v>42196</v>
      </c>
      <c r="L139" s="1466"/>
      <c r="M139" s="1467">
        <v>0</v>
      </c>
      <c r="N139" s="1468">
        <v>1.0452918681458438</v>
      </c>
      <c r="O139" s="1468">
        <v>1.0452918681458438</v>
      </c>
    </row>
    <row r="140" spans="2:15">
      <c r="B140" s="1384">
        <v>36678</v>
      </c>
      <c r="C140" s="1385">
        <v>183.745</v>
      </c>
      <c r="D140" s="1385">
        <v>1614.62</v>
      </c>
      <c r="E140" s="1385">
        <v>1.0145668910909638</v>
      </c>
      <c r="F140" s="1385">
        <v>5.6070096074551534</v>
      </c>
      <c r="K140" s="1465">
        <v>42197</v>
      </c>
      <c r="L140" s="1466"/>
      <c r="M140" s="1467">
        <v>0</v>
      </c>
      <c r="N140" s="1468">
        <v>1.0452918681458438</v>
      </c>
      <c r="O140" s="1468">
        <v>1.0452918681458438</v>
      </c>
    </row>
    <row r="141" spans="2:15">
      <c r="B141" s="1384">
        <v>36708</v>
      </c>
      <c r="C141" s="1385">
        <v>186.63399999999999</v>
      </c>
      <c r="D141" s="1385">
        <v>1640.62</v>
      </c>
      <c r="E141" s="1385">
        <v>1.0130599958288005</v>
      </c>
      <c r="F141" s="1385">
        <v>5.6802371295405623</v>
      </c>
      <c r="K141" s="1465">
        <v>42198</v>
      </c>
      <c r="L141" s="1466" t="s">
        <v>2125</v>
      </c>
      <c r="M141" s="1467">
        <v>5.0788E-2</v>
      </c>
      <c r="N141" s="1468">
        <v>1.0458227509798377</v>
      </c>
      <c r="O141" s="1468">
        <v>1.0458227509798377</v>
      </c>
    </row>
    <row r="142" spans="2:15">
      <c r="B142" s="1384">
        <v>36739</v>
      </c>
      <c r="C142" s="1385">
        <v>191.08699999999999</v>
      </c>
      <c r="D142" s="1385">
        <v>1662.11</v>
      </c>
      <c r="E142" s="1385">
        <v>1.0140543715890855</v>
      </c>
      <c r="F142" s="1385">
        <v>5.7600692928732462</v>
      </c>
      <c r="K142" s="1465">
        <v>42199</v>
      </c>
      <c r="L142" s="1466" t="s">
        <v>2125</v>
      </c>
      <c r="M142" s="1467">
        <v>5.0788E-2</v>
      </c>
      <c r="N142" s="1468">
        <v>1.0463539034386053</v>
      </c>
      <c r="O142" s="1468">
        <v>1.0463539034386053</v>
      </c>
    </row>
    <row r="143" spans="2:15">
      <c r="B143" s="1384">
        <v>36770</v>
      </c>
      <c r="C143" s="1385">
        <v>193.297</v>
      </c>
      <c r="D143" s="1385">
        <v>1665.93</v>
      </c>
      <c r="E143" s="1385">
        <v>1.0128508890656427</v>
      </c>
      <c r="F143" s="1385">
        <v>5.8340913043663756</v>
      </c>
      <c r="K143" s="1465">
        <v>42200</v>
      </c>
      <c r="L143" s="1466" t="s">
        <v>2125</v>
      </c>
      <c r="M143" s="1467">
        <v>5.0788E-2</v>
      </c>
      <c r="N143" s="1468">
        <v>1.0468853256590838</v>
      </c>
      <c r="O143" s="1468">
        <v>1.0468853256590838</v>
      </c>
    </row>
    <row r="144" spans="2:15">
      <c r="B144" s="1384">
        <v>36800</v>
      </c>
      <c r="C144" s="1385">
        <v>194.04</v>
      </c>
      <c r="D144" s="1385">
        <v>1668.26</v>
      </c>
      <c r="E144" s="1385">
        <v>1.013495295624836</v>
      </c>
      <c r="F144" s="1385">
        <v>5.9128240912210845</v>
      </c>
      <c r="K144" s="1465">
        <v>42201</v>
      </c>
      <c r="L144" s="1466" t="s">
        <v>2125</v>
      </c>
      <c r="M144" s="1467">
        <v>5.0788E-2</v>
      </c>
      <c r="N144" s="1468">
        <v>1.0474170177782796</v>
      </c>
      <c r="O144" s="1468">
        <v>1.0474170177782796</v>
      </c>
    </row>
    <row r="145" spans="2:15">
      <c r="B145" s="1384">
        <v>36831</v>
      </c>
      <c r="C145" s="1385">
        <v>194.59899999999999</v>
      </c>
      <c r="D145" s="1385">
        <v>1673.6</v>
      </c>
      <c r="E145" s="1385">
        <v>1.013431060777086</v>
      </c>
      <c r="F145" s="1385">
        <v>5.992239590954493</v>
      </c>
      <c r="K145" s="1465">
        <v>42202</v>
      </c>
      <c r="L145" s="1466" t="s">
        <v>2125</v>
      </c>
      <c r="M145" s="1467">
        <v>5.0788E-2</v>
      </c>
      <c r="N145" s="1468">
        <v>1.0479489799332689</v>
      </c>
      <c r="O145" s="1468">
        <v>1.0479489799332689</v>
      </c>
    </row>
    <row r="146" spans="2:15">
      <c r="B146" s="1384">
        <v>36861</v>
      </c>
      <c r="C146" s="1385">
        <v>195.827</v>
      </c>
      <c r="D146" s="1385">
        <v>1683.47</v>
      </c>
      <c r="E146" s="1385">
        <v>1.0125716392096709</v>
      </c>
      <c r="F146" s="1385">
        <v>6.0675718651498789</v>
      </c>
      <c r="K146" s="1465">
        <v>42203</v>
      </c>
      <c r="L146" s="1466"/>
      <c r="M146" s="1467">
        <v>0</v>
      </c>
      <c r="N146" s="1468">
        <v>1.0479489799332689</v>
      </c>
      <c r="O146" s="1468">
        <v>1.0479489799332689</v>
      </c>
    </row>
    <row r="147" spans="2:15">
      <c r="B147" s="1384">
        <v>36892</v>
      </c>
      <c r="C147" s="1385">
        <v>197.04499999999999</v>
      </c>
      <c r="D147" s="1385">
        <v>1693.07</v>
      </c>
      <c r="E147" s="1385">
        <v>1.0126506879847863</v>
      </c>
      <c r="F147" s="1385">
        <v>6.144330823641158</v>
      </c>
      <c r="K147" s="1465">
        <v>42204</v>
      </c>
      <c r="L147" s="1466"/>
      <c r="M147" s="1467">
        <v>0</v>
      </c>
      <c r="N147" s="1468">
        <v>1.0479489799332689</v>
      </c>
      <c r="O147" s="1468">
        <v>1.0479489799332689</v>
      </c>
    </row>
    <row r="148" spans="2:15">
      <c r="B148" s="1384">
        <v>36923</v>
      </c>
      <c r="C148" s="1385">
        <v>197.49100000000001</v>
      </c>
      <c r="D148" s="1385">
        <v>1700.86</v>
      </c>
      <c r="E148" s="1385">
        <v>1.0101583510827936</v>
      </c>
      <c r="F148" s="1385">
        <v>6.206747093316535</v>
      </c>
      <c r="K148" s="1465">
        <v>42205</v>
      </c>
      <c r="L148" s="1466" t="s">
        <v>2125</v>
      </c>
      <c r="M148" s="1467">
        <v>5.0788E-2</v>
      </c>
      <c r="N148" s="1468">
        <v>1.0484812122611973</v>
      </c>
      <c r="O148" s="1468">
        <v>1.0484812122611973</v>
      </c>
    </row>
    <row r="149" spans="2:15">
      <c r="B149" s="1384">
        <v>36951</v>
      </c>
      <c r="C149" s="1385">
        <v>198.60599999999999</v>
      </c>
      <c r="D149" s="1385">
        <v>1707.32</v>
      </c>
      <c r="E149" s="1385">
        <v>1.0125785495836725</v>
      </c>
      <c r="F149" s="1385">
        <v>6.2848189693831324</v>
      </c>
      <c r="K149" s="1465">
        <v>42206</v>
      </c>
      <c r="L149" s="1466" t="s">
        <v>2125</v>
      </c>
      <c r="M149" s="1467">
        <v>5.0788E-2</v>
      </c>
      <c r="N149" s="1468">
        <v>1.0490137148992804</v>
      </c>
      <c r="O149" s="1468">
        <v>1.0490137148992804</v>
      </c>
    </row>
    <row r="150" spans="2:15">
      <c r="B150" s="1384">
        <v>36982</v>
      </c>
      <c r="C150" s="1385">
        <v>200.59100000000001</v>
      </c>
      <c r="D150" s="1385">
        <v>1717.22</v>
      </c>
      <c r="E150" s="1385">
        <v>1.0118637336714187</v>
      </c>
      <c r="F150" s="1385">
        <v>6.3593803878089741</v>
      </c>
      <c r="K150" s="1465">
        <v>42207</v>
      </c>
      <c r="L150" s="1466" t="s">
        <v>2125</v>
      </c>
      <c r="M150" s="1467">
        <v>5.0788E-2</v>
      </c>
      <c r="N150" s="1468">
        <v>1.0495464879848035</v>
      </c>
      <c r="O150" s="1468">
        <v>1.0495464879848035</v>
      </c>
    </row>
    <row r="151" spans="2:15">
      <c r="B151" s="1384">
        <v>37012</v>
      </c>
      <c r="C151" s="1385">
        <v>202.32400000000001</v>
      </c>
      <c r="D151" s="1385">
        <v>1724.26</v>
      </c>
      <c r="E151" s="1385">
        <v>1.0133677002760824</v>
      </c>
      <c r="F151" s="1385">
        <v>6.4443906787748011</v>
      </c>
      <c r="K151" s="1465">
        <v>42208</v>
      </c>
      <c r="L151" s="1466" t="s">
        <v>2125</v>
      </c>
      <c r="M151" s="1467">
        <v>5.0788E-2</v>
      </c>
      <c r="N151" s="1468">
        <v>1.0500795316551212</v>
      </c>
      <c r="O151" s="1468">
        <v>1.0500795316551212</v>
      </c>
    </row>
    <row r="152" spans="2:15">
      <c r="B152" s="1384">
        <v>37043</v>
      </c>
      <c r="C152" s="1385">
        <v>204.31</v>
      </c>
      <c r="D152" s="1385">
        <v>1733.23</v>
      </c>
      <c r="E152" s="1385">
        <v>1.0127331554566117</v>
      </c>
      <c r="F152" s="1385">
        <v>6.5264481071107801</v>
      </c>
      <c r="K152" s="1465">
        <v>42209</v>
      </c>
      <c r="L152" s="1466" t="s">
        <v>2125</v>
      </c>
      <c r="M152" s="1467">
        <v>5.0788E-2</v>
      </c>
      <c r="N152" s="1468">
        <v>1.0506128460476583</v>
      </c>
      <c r="O152" s="1468">
        <v>1.0506128460476583</v>
      </c>
    </row>
    <row r="153" spans="2:15">
      <c r="B153" s="1384">
        <v>37073</v>
      </c>
      <c r="C153" s="1385">
        <v>207.34100000000001</v>
      </c>
      <c r="D153" s="1385">
        <v>1756.28</v>
      </c>
      <c r="E153" s="1385">
        <v>1.014979822756394</v>
      </c>
      <c r="F153" s="1385">
        <v>6.6242131429841029</v>
      </c>
      <c r="K153" s="1465">
        <v>42210</v>
      </c>
      <c r="L153" s="1466"/>
      <c r="M153" s="1467">
        <v>0</v>
      </c>
      <c r="N153" s="1468">
        <v>1.0506128460476583</v>
      </c>
      <c r="O153" s="1468">
        <v>1.0506128460476583</v>
      </c>
    </row>
    <row r="154" spans="2:15">
      <c r="B154" s="1384">
        <v>37104</v>
      </c>
      <c r="C154" s="1385">
        <v>210.21100000000001</v>
      </c>
      <c r="D154" s="1385">
        <v>1768.57</v>
      </c>
      <c r="E154" s="1385">
        <v>1.0160000122718875</v>
      </c>
      <c r="F154" s="1385">
        <v>6.7302006345634471</v>
      </c>
      <c r="K154" s="1465">
        <v>42211</v>
      </c>
      <c r="L154" s="1466"/>
      <c r="M154" s="1467">
        <v>0</v>
      </c>
      <c r="N154" s="1468">
        <v>1.0506128460476583</v>
      </c>
      <c r="O154" s="1468">
        <v>1.0506128460476583</v>
      </c>
    </row>
    <row r="155" spans="2:15">
      <c r="B155" s="1384">
        <v>37135</v>
      </c>
      <c r="C155" s="1385">
        <v>210.85300000000001</v>
      </c>
      <c r="D155" s="1385">
        <v>1773.52</v>
      </c>
      <c r="E155" s="1385">
        <v>1.013243107438228</v>
      </c>
      <c r="F155" s="1385">
        <v>6.8193294046478012</v>
      </c>
      <c r="K155" s="1465">
        <v>42212</v>
      </c>
      <c r="L155" s="1466" t="s">
        <v>2125</v>
      </c>
      <c r="M155" s="1467">
        <v>5.0788E-2</v>
      </c>
      <c r="N155" s="1468">
        <v>1.051146431299909</v>
      </c>
      <c r="O155" s="1468">
        <v>1.051146431299909</v>
      </c>
    </row>
    <row r="156" spans="2:15">
      <c r="B156" s="1384">
        <v>37165</v>
      </c>
      <c r="C156" s="1385">
        <v>213.339</v>
      </c>
      <c r="D156" s="1385">
        <v>1788.24</v>
      </c>
      <c r="E156" s="1385">
        <v>1.0153493751182632</v>
      </c>
      <c r="F156" s="1385">
        <v>6.9240018497347426</v>
      </c>
      <c r="K156" s="1465">
        <v>42213</v>
      </c>
      <c r="L156" s="1466" t="s">
        <v>2125</v>
      </c>
      <c r="M156" s="1467">
        <v>5.0788E-2</v>
      </c>
      <c r="N156" s="1468">
        <v>1.0516802875494375</v>
      </c>
      <c r="O156" s="1468">
        <v>1.0516802875494375</v>
      </c>
    </row>
    <row r="157" spans="2:15">
      <c r="B157" s="1384">
        <v>37196</v>
      </c>
      <c r="C157" s="1385">
        <v>215.685</v>
      </c>
      <c r="D157" s="1385">
        <v>1800.94</v>
      </c>
      <c r="E157" s="1385">
        <v>1.0139343824698488</v>
      </c>
      <c r="F157" s="1385">
        <v>7.0204835397308871</v>
      </c>
      <c r="K157" s="1465">
        <v>42214</v>
      </c>
      <c r="L157" s="1466" t="s">
        <v>2125</v>
      </c>
      <c r="M157" s="1467">
        <v>5.0788E-2</v>
      </c>
      <c r="N157" s="1468">
        <v>1.0522144149338781</v>
      </c>
      <c r="O157" s="1468">
        <v>1.0522144149338781</v>
      </c>
    </row>
    <row r="158" spans="2:15">
      <c r="B158" s="1384">
        <v>37226</v>
      </c>
      <c r="C158" s="1385">
        <v>216.16300000000001</v>
      </c>
      <c r="D158" s="1385">
        <v>1812.65</v>
      </c>
      <c r="E158" s="1385">
        <v>1.0139354159682339</v>
      </c>
      <c r="F158" s="1385">
        <v>7.1183168981551761</v>
      </c>
      <c r="K158" s="1465">
        <v>42215</v>
      </c>
      <c r="L158" s="1466" t="s">
        <v>2125</v>
      </c>
      <c r="M158" s="1467">
        <v>5.2531000000000001E-2</v>
      </c>
      <c r="N158" s="1468">
        <v>1.0527671536881871</v>
      </c>
      <c r="O158" s="1468">
        <v>1.0527671536881871</v>
      </c>
    </row>
    <row r="159" spans="2:15">
      <c r="B159" s="1384">
        <v>37257</v>
      </c>
      <c r="C159" s="1385">
        <v>216.94399999999999</v>
      </c>
      <c r="D159" s="1385">
        <v>1822.08</v>
      </c>
      <c r="E159" s="1385">
        <v>1.0153395939759675</v>
      </c>
      <c r="F159" s="1385">
        <v>7.2275089891651447</v>
      </c>
      <c r="K159" s="1465">
        <v>42216</v>
      </c>
      <c r="L159" s="1466" t="s">
        <v>2125</v>
      </c>
      <c r="M159" s="1467">
        <v>5.2531000000000001E-2</v>
      </c>
      <c r="N159" s="1468">
        <v>1.0533201828016909</v>
      </c>
      <c r="O159" s="1468">
        <v>1.0533201828016909</v>
      </c>
    </row>
    <row r="160" spans="2:15">
      <c r="B160" s="1384">
        <v>37288</v>
      </c>
      <c r="C160" s="1385">
        <v>217.07400000000001</v>
      </c>
      <c r="D160" s="1385">
        <v>1828.64</v>
      </c>
      <c r="E160" s="1385">
        <v>1.012482154231837</v>
      </c>
      <c r="F160" s="1385">
        <v>7.3177238710798918</v>
      </c>
      <c r="K160" s="1465">
        <v>42217</v>
      </c>
      <c r="L160" s="1466"/>
      <c r="M160" s="1467">
        <v>0</v>
      </c>
      <c r="N160" s="1468">
        <v>1.0533201828016909</v>
      </c>
      <c r="O160" s="1468">
        <v>1.0533201828016909</v>
      </c>
    </row>
    <row r="161" spans="2:15">
      <c r="B161" s="1384">
        <v>37316</v>
      </c>
      <c r="C161" s="1385">
        <v>217.27600000000001</v>
      </c>
      <c r="D161" s="1385">
        <v>1839.61</v>
      </c>
      <c r="E161" s="1385">
        <v>1.013713327882185</v>
      </c>
      <c r="F161" s="1385">
        <v>7.4180742178753025</v>
      </c>
      <c r="K161" s="1465">
        <v>42218</v>
      </c>
      <c r="L161" s="1466"/>
      <c r="M161" s="1467">
        <v>0</v>
      </c>
      <c r="N161" s="1468">
        <v>1.0533201828016909</v>
      </c>
      <c r="O161" s="1468">
        <v>1.0533201828016909</v>
      </c>
    </row>
    <row r="162" spans="2:15">
      <c r="B162" s="1384">
        <v>37347</v>
      </c>
      <c r="C162" s="1385">
        <v>218.48599999999999</v>
      </c>
      <c r="D162" s="1385">
        <v>1854.33</v>
      </c>
      <c r="E162" s="1385">
        <v>1.0148356719718208</v>
      </c>
      <c r="F162" s="1385">
        <v>7.5281263336343214</v>
      </c>
      <c r="K162" s="1465">
        <v>42219</v>
      </c>
      <c r="L162" s="1466" t="s">
        <v>2125</v>
      </c>
      <c r="M162" s="1467">
        <v>5.2531000000000001E-2</v>
      </c>
      <c r="N162" s="1468">
        <v>1.0538735024269186</v>
      </c>
      <c r="O162" s="1468">
        <v>1.0538735024269186</v>
      </c>
    </row>
    <row r="163" spans="2:15">
      <c r="B163" s="1384">
        <v>37377</v>
      </c>
      <c r="C163" s="1385">
        <v>220.292</v>
      </c>
      <c r="D163" s="1385">
        <v>1858.22</v>
      </c>
      <c r="E163" s="1385">
        <v>1.0141498936566418</v>
      </c>
      <c r="F163" s="1385">
        <v>7.6346485206890113</v>
      </c>
      <c r="K163" s="1465">
        <v>42220</v>
      </c>
      <c r="L163" s="1466" t="s">
        <v>2125</v>
      </c>
      <c r="M163" s="1467">
        <v>5.2531000000000001E-2</v>
      </c>
      <c r="N163" s="1468">
        <v>1.0544271127164784</v>
      </c>
      <c r="O163" s="1468">
        <v>1.0544271127164784</v>
      </c>
    </row>
    <row r="164" spans="2:15">
      <c r="B164" s="1384">
        <v>37408</v>
      </c>
      <c r="C164" s="1385">
        <v>223.68799999999999</v>
      </c>
      <c r="D164" s="1385">
        <v>1866.02</v>
      </c>
      <c r="E164" s="1385">
        <v>1.0132903281280037</v>
      </c>
      <c r="F164" s="1385">
        <v>7.7361155046709458</v>
      </c>
      <c r="K164" s="1465">
        <v>42221</v>
      </c>
      <c r="L164" s="1466" t="s">
        <v>2125</v>
      </c>
      <c r="M164" s="1467">
        <v>5.2531000000000001E-2</v>
      </c>
      <c r="N164" s="1468">
        <v>1.0549810138230595</v>
      </c>
      <c r="O164" s="1468">
        <v>1.0549810138230595</v>
      </c>
    </row>
    <row r="165" spans="2:15">
      <c r="B165" s="1384">
        <v>37438</v>
      </c>
      <c r="C165" s="1385">
        <v>228.05699999999999</v>
      </c>
      <c r="D165" s="1385">
        <v>1888.23</v>
      </c>
      <c r="E165" s="1385">
        <v>1.0153543455443825</v>
      </c>
      <c r="F165" s="1385">
        <v>7.8548984953009189</v>
      </c>
      <c r="K165" s="1465">
        <v>42222</v>
      </c>
      <c r="L165" s="1466" t="s">
        <v>2125</v>
      </c>
      <c r="M165" s="1467">
        <v>5.2531000000000001E-2</v>
      </c>
      <c r="N165" s="1468">
        <v>1.055535205899431</v>
      </c>
      <c r="O165" s="1468">
        <v>1.055535205899431</v>
      </c>
    </row>
    <row r="166" spans="2:15">
      <c r="B166" s="1384">
        <v>37469</v>
      </c>
      <c r="C166" s="1385">
        <v>233.34800000000001</v>
      </c>
      <c r="D166" s="1385">
        <v>1900.5</v>
      </c>
      <c r="E166" s="1385">
        <v>1.0144340404848073</v>
      </c>
      <c r="F166" s="1385">
        <v>7.9682764181861447</v>
      </c>
      <c r="K166" s="1465">
        <v>42223</v>
      </c>
      <c r="L166" s="1466" t="s">
        <v>2125</v>
      </c>
      <c r="M166" s="1467">
        <v>5.2531000000000001E-2</v>
      </c>
      <c r="N166" s="1468">
        <v>1.0560896890984419</v>
      </c>
      <c r="O166" s="1468">
        <v>1.0560896890984419</v>
      </c>
    </row>
    <row r="167" spans="2:15">
      <c r="B167" s="1384">
        <v>37500</v>
      </c>
      <c r="C167" s="1385">
        <v>238.94300000000001</v>
      </c>
      <c r="D167" s="1385">
        <v>1914.18</v>
      </c>
      <c r="E167" s="1385">
        <v>1.0138126637754254</v>
      </c>
      <c r="F167" s="1385">
        <v>8.0783395412202008</v>
      </c>
      <c r="K167" s="1465">
        <v>42224</v>
      </c>
      <c r="L167" s="1466"/>
      <c r="M167" s="1467">
        <v>0</v>
      </c>
      <c r="N167" s="1468">
        <v>1.0560896890984419</v>
      </c>
      <c r="O167" s="1468">
        <v>1.0560896890984419</v>
      </c>
    </row>
    <row r="168" spans="2:15">
      <c r="B168" s="1384">
        <v>37530</v>
      </c>
      <c r="C168" s="1385">
        <v>248.19900000000001</v>
      </c>
      <c r="D168" s="1385">
        <v>1939.26</v>
      </c>
      <c r="E168" s="1385">
        <v>1.0164592520111337</v>
      </c>
      <c r="F168" s="1385">
        <v>8.2113029675606501</v>
      </c>
      <c r="K168" s="1465">
        <v>42225</v>
      </c>
      <c r="L168" s="1466"/>
      <c r="M168" s="1467">
        <v>0</v>
      </c>
      <c r="N168" s="1468">
        <v>1.0560896890984419</v>
      </c>
      <c r="O168" s="1468">
        <v>1.0560896890984419</v>
      </c>
    </row>
    <row r="169" spans="2:15">
      <c r="B169" s="1384">
        <v>37561</v>
      </c>
      <c r="C169" s="1385">
        <v>261.08</v>
      </c>
      <c r="D169" s="1385">
        <v>1997.83</v>
      </c>
      <c r="E169" s="1385">
        <v>1.0154093077816833</v>
      </c>
      <c r="F169" s="1385">
        <v>8.337833462276441</v>
      </c>
      <c r="K169" s="1465">
        <v>42226</v>
      </c>
      <c r="L169" s="1466" t="s">
        <v>2125</v>
      </c>
      <c r="M169" s="1467">
        <v>5.2531000000000001E-2</v>
      </c>
      <c r="N169" s="1468">
        <v>1.0566444635730223</v>
      </c>
      <c r="O169" s="1468">
        <v>1.0566444635730223</v>
      </c>
    </row>
    <row r="170" spans="2:15">
      <c r="B170" s="1384">
        <v>37591</v>
      </c>
      <c r="C170" s="1385">
        <v>270.86700000000002</v>
      </c>
      <c r="D170" s="1385">
        <v>2039.78</v>
      </c>
      <c r="E170" s="1385">
        <v>1.0174244857414556</v>
      </c>
      <c r="F170" s="1385">
        <v>8.483115922554509</v>
      </c>
      <c r="K170" s="1465">
        <v>42227</v>
      </c>
      <c r="L170" s="1466" t="s">
        <v>2125</v>
      </c>
      <c r="M170" s="1467">
        <v>5.2531000000000001E-2</v>
      </c>
      <c r="N170" s="1468">
        <v>1.0571995294761818</v>
      </c>
      <c r="O170" s="1468">
        <v>1.0571995294761818</v>
      </c>
    </row>
    <row r="171" spans="2:15">
      <c r="B171" s="1384">
        <v>37622</v>
      </c>
      <c r="C171" s="1385">
        <v>277.173</v>
      </c>
      <c r="D171" s="1385">
        <v>2085.6799999999998</v>
      </c>
      <c r="E171" s="1385">
        <v>1.0197126646415859</v>
      </c>
      <c r="F171" s="1385">
        <v>8.6503407418515241</v>
      </c>
      <c r="K171" s="1465">
        <v>42228</v>
      </c>
      <c r="L171" s="1466" t="s">
        <v>2125</v>
      </c>
      <c r="M171" s="1467">
        <v>5.2531000000000001E-2</v>
      </c>
      <c r="N171" s="1468">
        <v>1.0577548869610109</v>
      </c>
      <c r="O171" s="1468">
        <v>1.0577548869610109</v>
      </c>
    </row>
    <row r="172" spans="2:15">
      <c r="B172" s="1384">
        <v>37653</v>
      </c>
      <c r="C172" s="1385">
        <v>283.50599999999997</v>
      </c>
      <c r="D172" s="1385">
        <v>2118.4299999999998</v>
      </c>
      <c r="E172" s="1385">
        <v>1.0183037986307939</v>
      </c>
      <c r="F172" s="1385">
        <v>8.8086748368781276</v>
      </c>
      <c r="K172" s="1465">
        <v>42229</v>
      </c>
      <c r="L172" s="1466" t="s">
        <v>2125</v>
      </c>
      <c r="M172" s="1467">
        <v>5.2531000000000001E-2</v>
      </c>
      <c r="N172" s="1468">
        <v>1.0583105361806804</v>
      </c>
      <c r="O172" s="1468">
        <v>1.0583105361806804</v>
      </c>
    </row>
    <row r="173" spans="2:15">
      <c r="B173" s="1384">
        <v>37681</v>
      </c>
      <c r="C173" s="1385">
        <v>287.85500000000002</v>
      </c>
      <c r="D173" s="1385">
        <v>2144.4899999999998</v>
      </c>
      <c r="E173" s="1385">
        <v>1.0177701866474056</v>
      </c>
      <c r="F173" s="1385">
        <v>8.9652066328457565</v>
      </c>
      <c r="K173" s="1465">
        <v>42230</v>
      </c>
      <c r="L173" s="1466" t="s">
        <v>2125</v>
      </c>
      <c r="M173" s="1467">
        <v>5.2531000000000001E-2</v>
      </c>
      <c r="N173" s="1468">
        <v>1.0588664772884415</v>
      </c>
      <c r="O173" s="1468">
        <v>1.0588664772884415</v>
      </c>
    </row>
    <row r="174" spans="2:15">
      <c r="B174" s="1384">
        <v>37712</v>
      </c>
      <c r="C174" s="1385">
        <v>290.512</v>
      </c>
      <c r="D174" s="1385">
        <v>2165.29</v>
      </c>
      <c r="E174" s="1385">
        <v>1.0187159495984839</v>
      </c>
      <c r="F174" s="1385">
        <v>9.1329989883260918</v>
      </c>
      <c r="K174" s="1465">
        <v>42231</v>
      </c>
      <c r="L174" s="1466"/>
      <c r="M174" s="1467">
        <v>0</v>
      </c>
      <c r="N174" s="1468">
        <v>1.0588664772884415</v>
      </c>
      <c r="O174" s="1468">
        <v>1.0588664772884415</v>
      </c>
    </row>
    <row r="175" spans="2:15">
      <c r="B175" s="1384">
        <v>37742</v>
      </c>
      <c r="C175" s="1385">
        <v>289.74700000000001</v>
      </c>
      <c r="D175" s="1385">
        <v>2178.5</v>
      </c>
      <c r="E175" s="1385">
        <v>1.0196535248447016</v>
      </c>
      <c r="F175" s="1385">
        <v>9.312494610849793</v>
      </c>
      <c r="K175" s="1465">
        <v>42232</v>
      </c>
      <c r="L175" s="1466"/>
      <c r="M175" s="1467">
        <v>0</v>
      </c>
      <c r="N175" s="1468">
        <v>1.0588664772884415</v>
      </c>
      <c r="O175" s="1468">
        <v>1.0588664772884415</v>
      </c>
    </row>
    <row r="176" spans="2:15">
      <c r="B176" s="1384">
        <v>37773</v>
      </c>
      <c r="C176" s="1385">
        <v>286.84300000000002</v>
      </c>
      <c r="D176" s="1385">
        <v>2175.23</v>
      </c>
      <c r="E176" s="1385">
        <v>1.0185667947451373</v>
      </c>
      <c r="F176" s="1385">
        <v>9.4853977868546391</v>
      </c>
      <c r="K176" s="1465">
        <v>42233</v>
      </c>
      <c r="L176" s="1466" t="s">
        <v>2125</v>
      </c>
      <c r="M176" s="1467">
        <v>5.2531000000000001E-2</v>
      </c>
      <c r="N176" s="1468">
        <v>1.0594227104376259</v>
      </c>
      <c r="O176" s="1468">
        <v>1.0594227104376259</v>
      </c>
    </row>
    <row r="177" spans="2:15">
      <c r="B177" s="1384">
        <v>37803</v>
      </c>
      <c r="C177" s="1385">
        <v>285.649</v>
      </c>
      <c r="D177" s="1385">
        <v>2179.58</v>
      </c>
      <c r="E177" s="1385">
        <v>1.0208424747911398</v>
      </c>
      <c r="F177" s="1385">
        <v>9.6830969511110894</v>
      </c>
      <c r="K177" s="1465">
        <v>42234</v>
      </c>
      <c r="L177" s="1466" t="s">
        <v>2125</v>
      </c>
      <c r="M177" s="1467">
        <v>5.2531000000000001E-2</v>
      </c>
      <c r="N177" s="1468">
        <v>1.059979235781646</v>
      </c>
      <c r="O177" s="1468">
        <v>1.059979235781646</v>
      </c>
    </row>
    <row r="178" spans="2:15">
      <c r="B178" s="1384">
        <v>37834</v>
      </c>
      <c r="C178" s="1385">
        <v>286.73500000000001</v>
      </c>
      <c r="D178" s="1385">
        <v>2186.9899999999998</v>
      </c>
      <c r="E178" s="1385">
        <v>1.0177426111342931</v>
      </c>
      <c r="F178" s="1385">
        <v>9.8549003748903132</v>
      </c>
      <c r="K178" s="1465">
        <v>42235</v>
      </c>
      <c r="L178" s="1466" t="s">
        <v>2125</v>
      </c>
      <c r="M178" s="1467">
        <v>5.2531000000000001E-2</v>
      </c>
      <c r="N178" s="1468">
        <v>1.0605360534739945</v>
      </c>
      <c r="O178" s="1468">
        <v>1.0605360534739945</v>
      </c>
    </row>
    <row r="179" spans="2:15">
      <c r="B179" s="1384">
        <v>37865</v>
      </c>
      <c r="C179" s="1385">
        <v>290.12700000000001</v>
      </c>
      <c r="D179" s="1385">
        <v>2204.0500000000002</v>
      </c>
      <c r="E179" s="1385">
        <v>1.0167950902831471</v>
      </c>
      <c r="F179" s="1385">
        <v>10.020414316418016</v>
      </c>
      <c r="K179" s="1465">
        <v>42236</v>
      </c>
      <c r="L179" s="1466" t="s">
        <v>2125</v>
      </c>
      <c r="M179" s="1467">
        <v>5.2531000000000001E-2</v>
      </c>
      <c r="N179" s="1468">
        <v>1.061093163668245</v>
      </c>
      <c r="O179" s="1468">
        <v>1.061093163668245</v>
      </c>
    </row>
    <row r="180" spans="2:15">
      <c r="B180" s="1384">
        <v>37895</v>
      </c>
      <c r="C180" s="1385">
        <v>291.22899999999998</v>
      </c>
      <c r="D180" s="1385">
        <v>2210.44</v>
      </c>
      <c r="E180" s="1385">
        <v>1.0164205992977207</v>
      </c>
      <c r="F180" s="1385">
        <v>10.18495552470506</v>
      </c>
      <c r="K180" s="1465">
        <v>42237</v>
      </c>
      <c r="L180" s="1466" t="s">
        <v>2125</v>
      </c>
      <c r="M180" s="1467">
        <v>5.2531000000000001E-2</v>
      </c>
      <c r="N180" s="1468">
        <v>1.0616505665180516</v>
      </c>
      <c r="O180" s="1468">
        <v>1.0616505665180516</v>
      </c>
    </row>
    <row r="181" spans="2:15">
      <c r="B181" s="1384">
        <v>37926</v>
      </c>
      <c r="C181" s="1385">
        <v>292.65699999999998</v>
      </c>
      <c r="D181" s="1385">
        <v>2217.96</v>
      </c>
      <c r="E181" s="1385">
        <v>1.0134353138584866</v>
      </c>
      <c r="F181" s="1385">
        <v>10.3217935988142</v>
      </c>
      <c r="K181" s="1465">
        <v>42238</v>
      </c>
      <c r="L181" s="1466"/>
      <c r="M181" s="1467">
        <v>0</v>
      </c>
      <c r="N181" s="1468">
        <v>1.0616505665180516</v>
      </c>
      <c r="O181" s="1468">
        <v>1.0616505665180516</v>
      </c>
    </row>
    <row r="182" spans="2:15">
      <c r="B182" s="1384">
        <v>37956</v>
      </c>
      <c r="C182" s="1385">
        <v>294.45499999999998</v>
      </c>
      <c r="D182" s="1385">
        <v>2229.4899999999998</v>
      </c>
      <c r="E182" s="1385">
        <v>1.0137325047762002</v>
      </c>
      <c r="F182" s="1385">
        <v>10.463537678708869</v>
      </c>
      <c r="K182" s="1465">
        <v>42239</v>
      </c>
      <c r="L182" s="1466"/>
      <c r="M182" s="1467">
        <v>0</v>
      </c>
      <c r="N182" s="1468">
        <v>1.0616505665180516</v>
      </c>
      <c r="O182" s="1468">
        <v>1.0616505665180516</v>
      </c>
    </row>
    <row r="183" spans="2:15">
      <c r="B183" s="1384">
        <v>37987</v>
      </c>
      <c r="C183" s="1385">
        <v>297.03899999999999</v>
      </c>
      <c r="D183" s="1385">
        <v>2246.4299999999998</v>
      </c>
      <c r="E183" s="1385">
        <v>1.0126755135884871</v>
      </c>
      <c r="F183" s="1385">
        <v>10.59616839273899</v>
      </c>
      <c r="K183" s="1465">
        <v>42240</v>
      </c>
      <c r="L183" s="1466" t="s">
        <v>2125</v>
      </c>
      <c r="M183" s="1467">
        <v>5.2531000000000001E-2</v>
      </c>
      <c r="N183" s="1468">
        <v>1.0622082621771491</v>
      </c>
      <c r="O183" s="1468">
        <v>1.0622082621771491</v>
      </c>
    </row>
    <row r="184" spans="2:15">
      <c r="B184" s="1384">
        <v>38018</v>
      </c>
      <c r="C184" s="1385">
        <v>299.09699999999998</v>
      </c>
      <c r="D184" s="1385">
        <v>2260.13</v>
      </c>
      <c r="E184" s="1385">
        <v>1.0108439419169848</v>
      </c>
      <c r="F184" s="1385">
        <v>10.711072627332442</v>
      </c>
      <c r="K184" s="1465">
        <v>42241</v>
      </c>
      <c r="L184" s="1466" t="s">
        <v>2125</v>
      </c>
      <c r="M184" s="1467">
        <v>5.2531000000000001E-2</v>
      </c>
      <c r="N184" s="1468">
        <v>1.0627662507993534</v>
      </c>
      <c r="O184" s="1468">
        <v>1.0627662507993534</v>
      </c>
    </row>
    <row r="185" spans="2:15">
      <c r="B185" s="1384">
        <v>38047</v>
      </c>
      <c r="C185" s="1385">
        <v>302.48399999999998</v>
      </c>
      <c r="D185" s="1385">
        <v>2270.75</v>
      </c>
      <c r="E185" s="1385">
        <v>1.0137912342986635</v>
      </c>
      <c r="F185" s="1385">
        <v>10.858791539525985</v>
      </c>
      <c r="K185" s="1465">
        <v>42242</v>
      </c>
      <c r="L185" s="1466" t="s">
        <v>2125</v>
      </c>
      <c r="M185" s="1467">
        <v>5.2531000000000001E-2</v>
      </c>
      <c r="N185" s="1468">
        <v>1.0633245325385607</v>
      </c>
      <c r="O185" s="1468">
        <v>1.0633245325385607</v>
      </c>
    </row>
    <row r="186" spans="2:15">
      <c r="B186" s="1384">
        <v>38078</v>
      </c>
      <c r="C186" s="1385">
        <v>306.15100000000001</v>
      </c>
      <c r="D186" s="1385">
        <v>2279.15</v>
      </c>
      <c r="E186" s="1385">
        <v>1.011818501098614</v>
      </c>
      <c r="F186" s="1385">
        <v>10.987126179265493</v>
      </c>
      <c r="K186" s="1465">
        <v>42243</v>
      </c>
      <c r="L186" s="1466" t="s">
        <v>2125</v>
      </c>
      <c r="M186" s="1467">
        <v>5.2531000000000001E-2</v>
      </c>
      <c r="N186" s="1468">
        <v>1.0638831075487485</v>
      </c>
      <c r="O186" s="1468">
        <v>1.0638831075487485</v>
      </c>
    </row>
    <row r="187" spans="2:15">
      <c r="B187" s="1384">
        <v>38108</v>
      </c>
      <c r="C187" s="1385">
        <v>310.15199999999999</v>
      </c>
      <c r="D187" s="1385">
        <v>2290.77</v>
      </c>
      <c r="E187" s="1385">
        <v>1.0122780474663127</v>
      </c>
      <c r="F187" s="1385">
        <v>11.122026636012881</v>
      </c>
      <c r="K187" s="1465">
        <v>42244</v>
      </c>
      <c r="L187" s="1466" t="s">
        <v>2125</v>
      </c>
      <c r="M187" s="1467">
        <v>5.2531000000000001E-2</v>
      </c>
      <c r="N187" s="1468">
        <v>1.0644419759839749</v>
      </c>
      <c r="O187" s="1468">
        <v>1.0644419759839749</v>
      </c>
    </row>
    <row r="188" spans="2:15">
      <c r="B188" s="1384">
        <v>38139</v>
      </c>
      <c r="C188" s="1385">
        <v>314.41899999999998</v>
      </c>
      <c r="D188" s="1385">
        <v>2307.0300000000002</v>
      </c>
      <c r="E188" s="1385">
        <v>1.0122988884857291</v>
      </c>
      <c r="F188" s="1385">
        <v>11.258815201344513</v>
      </c>
      <c r="K188" s="1465">
        <v>42245</v>
      </c>
      <c r="L188" s="1466"/>
      <c r="M188" s="1467">
        <v>0</v>
      </c>
      <c r="N188" s="1468">
        <v>1.0644419759839749</v>
      </c>
      <c r="O188" s="1468">
        <v>1.0644419759839749</v>
      </c>
    </row>
    <row r="189" spans="2:15">
      <c r="B189" s="1384">
        <v>38169</v>
      </c>
      <c r="C189" s="1385">
        <v>318.53199999999998</v>
      </c>
      <c r="D189" s="1385">
        <v>2328.02</v>
      </c>
      <c r="E189" s="1385">
        <v>1.012868893920805</v>
      </c>
      <c r="F189" s="1385">
        <v>11.403703699844563</v>
      </c>
      <c r="K189" s="1465">
        <v>42246</v>
      </c>
      <c r="L189" s="1466"/>
      <c r="M189" s="1467">
        <v>0</v>
      </c>
      <c r="N189" s="1468">
        <v>1.0644419759839749</v>
      </c>
      <c r="O189" s="1468">
        <v>1.0644419759839749</v>
      </c>
    </row>
    <row r="190" spans="2:15">
      <c r="B190" s="1384">
        <v>38200</v>
      </c>
      <c r="C190" s="1385">
        <v>322.41199999999998</v>
      </c>
      <c r="D190" s="1385">
        <v>2344.08</v>
      </c>
      <c r="E190" s="1385">
        <v>1.0129358583775749</v>
      </c>
      <c r="F190" s="1385">
        <v>11.551220395885579</v>
      </c>
      <c r="K190" s="1465">
        <v>42247</v>
      </c>
      <c r="L190" s="1466" t="s">
        <v>2125</v>
      </c>
      <c r="M190" s="1467">
        <v>5.2531000000000001E-2</v>
      </c>
      <c r="N190" s="1468">
        <v>1.065001137998379</v>
      </c>
      <c r="O190" s="1468">
        <v>1.065001137998379</v>
      </c>
    </row>
    <row r="191" spans="2:15">
      <c r="B191" s="1384">
        <v>38231</v>
      </c>
      <c r="C191" s="1385">
        <v>324.65100000000001</v>
      </c>
      <c r="D191" s="1385">
        <v>2351.8200000000002</v>
      </c>
      <c r="E191" s="1385">
        <v>1.0125132709021758</v>
      </c>
      <c r="F191" s="1385">
        <v>11.695763945950034</v>
      </c>
      <c r="K191" s="1465">
        <v>42248</v>
      </c>
      <c r="L191" s="1466" t="s">
        <v>2125</v>
      </c>
      <c r="M191" s="1467">
        <v>5.2531000000000001E-2</v>
      </c>
      <c r="N191" s="1468">
        <v>1.065560593746181</v>
      </c>
      <c r="O191" s="1468">
        <v>1.065560593746181</v>
      </c>
    </row>
    <row r="192" spans="2:15">
      <c r="B192" s="1384">
        <v>38261</v>
      </c>
      <c r="C192" s="1385">
        <v>325.92500000000001</v>
      </c>
      <c r="D192" s="1385">
        <v>2362.17</v>
      </c>
      <c r="E192" s="1385">
        <v>1.0121322386789289</v>
      </c>
      <c r="F192" s="1385">
        <v>11.837659745674712</v>
      </c>
      <c r="K192" s="1465">
        <v>42249</v>
      </c>
      <c r="L192" s="1466" t="s">
        <v>2125</v>
      </c>
      <c r="M192" s="1467">
        <v>5.2531000000000001E-2</v>
      </c>
      <c r="N192" s="1468">
        <v>1.0661203433816817</v>
      </c>
      <c r="O192" s="1468">
        <v>1.0661203433816817</v>
      </c>
    </row>
    <row r="193" spans="2:15">
      <c r="B193" s="1384">
        <v>38292</v>
      </c>
      <c r="C193" s="1385">
        <v>328.58800000000002</v>
      </c>
      <c r="D193" s="1385">
        <v>2378.4699999999998</v>
      </c>
      <c r="E193" s="1385">
        <v>1.0125098562166484</v>
      </c>
      <c r="F193" s="1385">
        <v>11.985747167034708</v>
      </c>
      <c r="K193" s="1465">
        <v>42250</v>
      </c>
      <c r="L193" s="1466" t="s">
        <v>2125</v>
      </c>
      <c r="M193" s="1467">
        <v>5.2531000000000001E-2</v>
      </c>
      <c r="N193" s="1468">
        <v>1.0666803870592636</v>
      </c>
      <c r="O193" s="1468">
        <v>1.0666803870592636</v>
      </c>
    </row>
    <row r="194" spans="2:15">
      <c r="B194" s="1384">
        <v>38322</v>
      </c>
      <c r="C194" s="1385">
        <v>331.005</v>
      </c>
      <c r="D194" s="1385">
        <v>2398.92</v>
      </c>
      <c r="E194" s="1385">
        <v>1.0148282315457626</v>
      </c>
      <c r="F194" s="1385">
        <v>12.163474601276468</v>
      </c>
      <c r="K194" s="1465">
        <v>42251</v>
      </c>
      <c r="L194" s="1466" t="s">
        <v>2125</v>
      </c>
      <c r="M194" s="1467">
        <v>5.2531000000000001E-2</v>
      </c>
      <c r="N194" s="1468">
        <v>1.0672407249333897</v>
      </c>
      <c r="O194" s="1468">
        <v>1.0672407249333897</v>
      </c>
    </row>
    <row r="195" spans="2:15">
      <c r="B195" s="1384">
        <v>38353</v>
      </c>
      <c r="C195" s="1385">
        <v>332.298</v>
      </c>
      <c r="D195" s="1385">
        <v>2412.83</v>
      </c>
      <c r="E195" s="1385">
        <v>1.0138388229391033</v>
      </c>
      <c r="F195" s="1385">
        <v>12.331802772607814</v>
      </c>
      <c r="K195" s="1465">
        <v>42252</v>
      </c>
      <c r="L195" s="1466"/>
      <c r="M195" s="1467">
        <v>0</v>
      </c>
      <c r="N195" s="1468">
        <v>1.0672407249333897</v>
      </c>
      <c r="O195" s="1468">
        <v>1.0672407249333897</v>
      </c>
    </row>
    <row r="196" spans="2:15">
      <c r="B196" s="1384">
        <v>38384</v>
      </c>
      <c r="C196" s="1385">
        <v>333.28800000000001</v>
      </c>
      <c r="D196" s="1385">
        <v>2427.0700000000002</v>
      </c>
      <c r="E196" s="1385">
        <v>1.0121818576713373</v>
      </c>
      <c r="F196" s="1385">
        <v>12.482027038814724</v>
      </c>
      <c r="K196" s="1465">
        <v>42253</v>
      </c>
      <c r="L196" s="1466"/>
      <c r="M196" s="1467">
        <v>0</v>
      </c>
      <c r="N196" s="1468">
        <v>1.0672407249333897</v>
      </c>
      <c r="O196" s="1468">
        <v>1.0672407249333897</v>
      </c>
    </row>
    <row r="197" spans="2:15">
      <c r="B197" s="1384">
        <v>38412</v>
      </c>
      <c r="C197" s="1385">
        <v>336.12299999999999</v>
      </c>
      <c r="D197" s="1385">
        <v>2441.87</v>
      </c>
      <c r="E197" s="1385">
        <v>1.0152817807540921</v>
      </c>
      <c r="F197" s="1385">
        <v>12.672774639388541</v>
      </c>
      <c r="G197" s="67"/>
      <c r="K197" s="1465">
        <v>42254</v>
      </c>
      <c r="L197" s="1466"/>
      <c r="M197" s="1467">
        <v>0</v>
      </c>
      <c r="N197" s="1468">
        <v>1.0672407249333897</v>
      </c>
      <c r="O197" s="1468">
        <v>1.0672407249333897</v>
      </c>
    </row>
    <row r="198" spans="2:15">
      <c r="B198" s="1384">
        <v>38443</v>
      </c>
      <c r="C198" s="1385">
        <v>339.03</v>
      </c>
      <c r="D198" s="1385">
        <v>2463.11</v>
      </c>
      <c r="E198" s="1385">
        <v>1.0141152901477553</v>
      </c>
      <c r="F198" s="1385">
        <v>12.851654530400625</v>
      </c>
      <c r="K198" s="1465">
        <v>42255</v>
      </c>
      <c r="L198" s="1466" t="s">
        <v>2125</v>
      </c>
      <c r="M198" s="1467">
        <v>5.2531000000000001E-2</v>
      </c>
      <c r="N198" s="1468">
        <v>1.0678013571586045</v>
      </c>
      <c r="O198" s="1468">
        <v>1.0678013571586045</v>
      </c>
    </row>
    <row r="199" spans="2:15">
      <c r="B199" s="1384">
        <v>38473</v>
      </c>
      <c r="C199" s="1385">
        <v>338.29899999999998</v>
      </c>
      <c r="D199" s="1385">
        <v>2475.1799999999998</v>
      </c>
      <c r="E199" s="1385">
        <v>1.0150306502044895</v>
      </c>
      <c r="F199" s="1385">
        <v>13.044823254196018</v>
      </c>
      <c r="K199" s="1465">
        <v>42256</v>
      </c>
      <c r="L199" s="1466" t="s">
        <v>2125</v>
      </c>
      <c r="M199" s="1467">
        <v>5.2531000000000001E-2</v>
      </c>
      <c r="N199" s="1468">
        <v>1.0683622838895335</v>
      </c>
      <c r="O199" s="1468">
        <v>1.0683622838895335</v>
      </c>
    </row>
    <row r="200" spans="2:15">
      <c r="B200" s="1384">
        <v>38504</v>
      </c>
      <c r="C200" s="1385">
        <v>336.80099999999999</v>
      </c>
      <c r="D200" s="1385">
        <v>2474.6799999999998</v>
      </c>
      <c r="E200" s="1385">
        <v>1.0158560276185216</v>
      </c>
      <c r="F200" s="1385">
        <v>13.251662331993282</v>
      </c>
      <c r="K200" s="1465">
        <v>42257</v>
      </c>
      <c r="L200" s="1466" t="s">
        <v>2125</v>
      </c>
      <c r="M200" s="1467">
        <v>5.2531000000000001E-2</v>
      </c>
      <c r="N200" s="1468">
        <v>1.0689235052808834</v>
      </c>
      <c r="O200" s="1468">
        <v>1.0689235052808834</v>
      </c>
    </row>
    <row r="201" spans="2:15">
      <c r="B201" s="1384">
        <v>38534</v>
      </c>
      <c r="C201" s="1385">
        <v>335.66300000000001</v>
      </c>
      <c r="D201" s="1385">
        <v>2480.87</v>
      </c>
      <c r="E201" s="1385">
        <v>1.0151134516871545</v>
      </c>
      <c r="F201" s="1385">
        <v>13.451940690422347</v>
      </c>
      <c r="K201" s="1465">
        <v>42258</v>
      </c>
      <c r="L201" s="1466" t="s">
        <v>2125</v>
      </c>
      <c r="M201" s="1467">
        <v>5.2531000000000001E-2</v>
      </c>
      <c r="N201" s="1468">
        <v>1.0694850214874425</v>
      </c>
      <c r="O201" s="1468">
        <v>1.0694850214874425</v>
      </c>
    </row>
    <row r="202" spans="2:15">
      <c r="B202" s="1384">
        <v>38565</v>
      </c>
      <c r="C202" s="1385">
        <v>333.47399999999999</v>
      </c>
      <c r="D202" s="1385">
        <v>2485.09</v>
      </c>
      <c r="E202" s="1385">
        <v>1.0165848332092207</v>
      </c>
      <c r="F202" s="1385">
        <v>13.675038883113331</v>
      </c>
      <c r="K202" s="1465">
        <v>42259</v>
      </c>
      <c r="L202" s="1466"/>
      <c r="M202" s="1467">
        <v>0</v>
      </c>
      <c r="N202" s="1468">
        <v>1.0694850214874425</v>
      </c>
      <c r="O202" s="1468">
        <v>1.0694850214874425</v>
      </c>
    </row>
    <row r="203" spans="2:15">
      <c r="B203" s="1384">
        <v>38596</v>
      </c>
      <c r="C203" s="1385">
        <v>331.69</v>
      </c>
      <c r="D203" s="1385">
        <v>2493.79</v>
      </c>
      <c r="E203" s="1385">
        <v>1.0150313602253485</v>
      </c>
      <c r="F203" s="1385">
        <v>13.880593318661054</v>
      </c>
      <c r="K203" s="1465">
        <v>42260</v>
      </c>
      <c r="L203" s="1466"/>
      <c r="M203" s="1467">
        <v>0</v>
      </c>
      <c r="N203" s="1468">
        <v>1.0694850214874425</v>
      </c>
      <c r="O203" s="1468">
        <v>1.0694850214874425</v>
      </c>
    </row>
    <row r="204" spans="2:15">
      <c r="B204" s="1384">
        <v>38626</v>
      </c>
      <c r="C204" s="1385">
        <v>333.69400000000002</v>
      </c>
      <c r="D204" s="1385">
        <v>2512.4899999999998</v>
      </c>
      <c r="E204" s="1385">
        <v>1.0140716431638075</v>
      </c>
      <c r="F204" s="1385">
        <v>14.075916074743184</v>
      </c>
      <c r="K204" s="1465">
        <v>42261</v>
      </c>
      <c r="L204" s="1466" t="s">
        <v>2125</v>
      </c>
      <c r="M204" s="1467">
        <v>5.2531000000000001E-2</v>
      </c>
      <c r="N204" s="1468">
        <v>1.0700468326640802</v>
      </c>
      <c r="O204" s="1468">
        <v>1.0700468326640802</v>
      </c>
    </row>
    <row r="205" spans="2:15">
      <c r="B205" s="1384">
        <v>38657</v>
      </c>
      <c r="C205" s="1385">
        <v>335.03300000000002</v>
      </c>
      <c r="D205" s="1385">
        <v>2526.31</v>
      </c>
      <c r="E205" s="1385">
        <v>1.0138104099310956</v>
      </c>
      <c r="F205" s="1385">
        <v>14.270310245891086</v>
      </c>
      <c r="K205" s="1465">
        <v>42262</v>
      </c>
      <c r="L205" s="1466" t="s">
        <v>2125</v>
      </c>
      <c r="M205" s="1467">
        <v>5.2531000000000001E-2</v>
      </c>
      <c r="N205" s="1468">
        <v>1.0706089389657469</v>
      </c>
      <c r="O205" s="1468">
        <v>1.0706089389657469</v>
      </c>
    </row>
    <row r="206" spans="2:15">
      <c r="B206" s="1384">
        <v>38687</v>
      </c>
      <c r="C206" s="1385">
        <v>335.00599999999997</v>
      </c>
      <c r="D206" s="1385">
        <v>2535.4</v>
      </c>
      <c r="E206" s="1385">
        <v>1.0147357208231795</v>
      </c>
      <c r="F206" s="1385">
        <v>14.480593553734694</v>
      </c>
      <c r="K206" s="1465">
        <v>42263</v>
      </c>
      <c r="L206" s="1466" t="s">
        <v>2125</v>
      </c>
      <c r="M206" s="1467">
        <v>5.2531000000000001E-2</v>
      </c>
      <c r="N206" s="1468">
        <v>1.071171340547475</v>
      </c>
      <c r="O206" s="1468">
        <v>1.071171340547475</v>
      </c>
    </row>
    <row r="207" spans="2:15">
      <c r="B207" s="1384">
        <v>38718</v>
      </c>
      <c r="C207" s="1385">
        <v>338.08300000000003</v>
      </c>
      <c r="D207" s="1385">
        <v>2550.36</v>
      </c>
      <c r="E207" s="1385">
        <v>1.0142931741687891</v>
      </c>
      <c r="F207" s="1385">
        <v>14.687567199465668</v>
      </c>
      <c r="K207" s="1465">
        <v>42264</v>
      </c>
      <c r="L207" s="1466" t="s">
        <v>2125</v>
      </c>
      <c r="M207" s="1467">
        <v>5.2531000000000001E-2</v>
      </c>
      <c r="N207" s="1468">
        <v>1.071734037564378</v>
      </c>
      <c r="O207" s="1468">
        <v>1.071734037564378</v>
      </c>
    </row>
    <row r="208" spans="2:15">
      <c r="B208" s="1384">
        <v>38749</v>
      </c>
      <c r="C208" s="1385">
        <v>338.12799999999999</v>
      </c>
      <c r="D208" s="1385">
        <v>2560.8200000000002</v>
      </c>
      <c r="E208" s="1385">
        <v>1.0114506306443078</v>
      </c>
      <c r="F208" s="1385">
        <v>14.855749106530201</v>
      </c>
      <c r="K208" s="1465">
        <v>42265</v>
      </c>
      <c r="L208" s="1466" t="s">
        <v>2125</v>
      </c>
      <c r="M208" s="1467">
        <v>5.2531000000000001E-2</v>
      </c>
      <c r="N208" s="1468">
        <v>1.072297030171651</v>
      </c>
      <c r="O208" s="1468">
        <v>1.072297030171651</v>
      </c>
    </row>
    <row r="209" spans="2:15">
      <c r="B209" s="1384">
        <v>38777</v>
      </c>
      <c r="C209" s="1385">
        <v>337.339</v>
      </c>
      <c r="D209" s="1385">
        <v>2571.83</v>
      </c>
      <c r="E209" s="1385">
        <v>1.0142230199009199</v>
      </c>
      <c r="F209" s="1385">
        <v>15.067042721715453</v>
      </c>
      <c r="K209" s="1465">
        <v>42266</v>
      </c>
      <c r="L209" s="1466"/>
      <c r="M209" s="1467">
        <v>0</v>
      </c>
      <c r="N209" s="1468">
        <v>1.072297030171651</v>
      </c>
      <c r="O209" s="1468">
        <v>1.072297030171651</v>
      </c>
    </row>
    <row r="210" spans="2:15">
      <c r="B210" s="1384">
        <v>38808</v>
      </c>
      <c r="C210" s="1385">
        <v>335.92099999999999</v>
      </c>
      <c r="D210" s="1385">
        <v>2577.23</v>
      </c>
      <c r="E210" s="1385">
        <v>1.0107787821533378</v>
      </c>
      <c r="F210" s="1385">
        <v>15.229447092907858</v>
      </c>
      <c r="K210" s="1465">
        <v>42267</v>
      </c>
      <c r="L210" s="1466"/>
      <c r="M210" s="1467">
        <v>0</v>
      </c>
      <c r="N210" s="1468">
        <v>1.072297030171651</v>
      </c>
      <c r="O210" s="1468">
        <v>1.072297030171651</v>
      </c>
    </row>
    <row r="211" spans="2:15">
      <c r="B211" s="1384">
        <v>38838</v>
      </c>
      <c r="C211" s="1385">
        <v>337.185</v>
      </c>
      <c r="D211" s="1385">
        <v>2579.81</v>
      </c>
      <c r="E211" s="1385">
        <v>1.0128136552027243</v>
      </c>
      <c r="F211" s="1385">
        <v>15.424591976884511</v>
      </c>
      <c r="K211" s="1465">
        <v>42268</v>
      </c>
      <c r="L211" s="1466" t="s">
        <v>2125</v>
      </c>
      <c r="M211" s="1467">
        <v>5.2531000000000001E-2</v>
      </c>
      <c r="N211" s="1468">
        <v>1.0728603185245704</v>
      </c>
      <c r="O211" s="1468">
        <v>1.0728603185245704</v>
      </c>
    </row>
    <row r="212" spans="2:15">
      <c r="B212" s="1384">
        <v>38869</v>
      </c>
      <c r="C212" s="1385">
        <v>339.71199999999999</v>
      </c>
      <c r="D212" s="1385">
        <v>2574.39</v>
      </c>
      <c r="E212" s="1385">
        <v>1.0118439390435949</v>
      </c>
      <c r="F212" s="1385">
        <v>15.607279904031055</v>
      </c>
      <c r="K212" s="1465">
        <v>42269</v>
      </c>
      <c r="L212" s="1466" t="s">
        <v>2125</v>
      </c>
      <c r="M212" s="1467">
        <v>5.2531000000000001E-2</v>
      </c>
      <c r="N212" s="1468">
        <v>1.0734239027784946</v>
      </c>
      <c r="O212" s="1468">
        <v>1.0734239027784946</v>
      </c>
    </row>
    <row r="213" spans="2:15">
      <c r="B213" s="1384">
        <v>38899</v>
      </c>
      <c r="C213" s="1385">
        <v>340.31200000000001</v>
      </c>
      <c r="D213" s="1385">
        <v>2579.2800000000002</v>
      </c>
      <c r="E213" s="1385">
        <v>1.0116996590630269</v>
      </c>
      <c r="F213" s="1385">
        <v>15.78987975780945</v>
      </c>
      <c r="K213" s="1465">
        <v>42270</v>
      </c>
      <c r="L213" s="1466" t="s">
        <v>2125</v>
      </c>
      <c r="M213" s="1467">
        <v>5.2531000000000001E-2</v>
      </c>
      <c r="N213" s="1468">
        <v>1.0739877830888631</v>
      </c>
      <c r="O213" s="1468">
        <v>1.0739877830888631</v>
      </c>
    </row>
    <row r="214" spans="2:15">
      <c r="B214" s="1384">
        <v>38930</v>
      </c>
      <c r="C214" s="1385">
        <v>341.57400000000001</v>
      </c>
      <c r="D214" s="1385">
        <v>2580.5700000000002</v>
      </c>
      <c r="E214" s="1385">
        <v>1.012562646303421</v>
      </c>
      <c r="F214" s="1385">
        <v>15.988242432380357</v>
      </c>
      <c r="K214" s="1465">
        <v>42271</v>
      </c>
      <c r="L214" s="1466" t="s">
        <v>2125</v>
      </c>
      <c r="M214" s="1467">
        <v>5.2531000000000001E-2</v>
      </c>
      <c r="N214" s="1468">
        <v>1.0745519596111974</v>
      </c>
      <c r="O214" s="1468">
        <v>1.0745519596111974</v>
      </c>
    </row>
    <row r="215" spans="2:15" ht="13.5" customHeight="1">
      <c r="B215" s="1384">
        <v>38961</v>
      </c>
      <c r="C215" s="1385">
        <v>342.56099999999998</v>
      </c>
      <c r="D215" s="1385">
        <v>2585.9899999999998</v>
      </c>
      <c r="E215" s="1385">
        <v>1.0105730983323107</v>
      </c>
      <c r="F215" s="1385">
        <v>16.157287691778738</v>
      </c>
      <c r="K215" s="1465">
        <v>42272</v>
      </c>
      <c r="L215" s="1466" t="s">
        <v>2125</v>
      </c>
      <c r="M215" s="1467">
        <v>5.2531000000000001E-2</v>
      </c>
      <c r="N215" s="1468">
        <v>1.0751164325011009</v>
      </c>
      <c r="O215" s="1468">
        <v>1.0751164325011009</v>
      </c>
    </row>
    <row r="216" spans="2:15">
      <c r="B216" s="1384">
        <v>38991</v>
      </c>
      <c r="C216" s="1385">
        <v>344.15499999999997</v>
      </c>
      <c r="D216" s="1385">
        <v>2594.52</v>
      </c>
      <c r="E216" s="1385">
        <v>1.0109424441222723</v>
      </c>
      <c r="F216" s="1385">
        <v>16.334087909513503</v>
      </c>
      <c r="K216" s="1465">
        <v>42273</v>
      </c>
      <c r="L216" s="1466"/>
      <c r="M216" s="1467">
        <v>0</v>
      </c>
      <c r="N216" s="1468">
        <v>1.0751164325011009</v>
      </c>
      <c r="O216" s="1468">
        <v>1.0751164325011009</v>
      </c>
    </row>
    <row r="217" spans="2:15">
      <c r="B217" s="1384">
        <v>39022</v>
      </c>
      <c r="C217" s="1385">
        <v>346.74599999999998</v>
      </c>
      <c r="D217" s="1385">
        <v>2602.56</v>
      </c>
      <c r="E217" s="1385">
        <v>1.0102060517349183</v>
      </c>
      <c r="F217" s="1385">
        <v>16.500794455760701</v>
      </c>
      <c r="K217" s="1465">
        <v>42274</v>
      </c>
      <c r="L217" s="1466"/>
      <c r="M217" s="1467">
        <v>0</v>
      </c>
      <c r="N217" s="1468">
        <v>1.0751164325011009</v>
      </c>
      <c r="O217" s="1468">
        <v>1.0751164325011009</v>
      </c>
    </row>
    <row r="218" spans="2:15">
      <c r="B218" s="1384">
        <v>39052</v>
      </c>
      <c r="C218" s="1385">
        <v>347.84199999999998</v>
      </c>
      <c r="D218" s="1385">
        <v>2615.0500000000002</v>
      </c>
      <c r="E218" s="1385">
        <v>1.0098788606332807</v>
      </c>
      <c r="F218" s="1385">
        <v>16.663803504527571</v>
      </c>
      <c r="K218" s="1465">
        <v>42275</v>
      </c>
      <c r="L218" s="1466" t="s">
        <v>2125</v>
      </c>
      <c r="M218" s="1467">
        <v>5.2531000000000001E-2</v>
      </c>
      <c r="N218" s="1468">
        <v>1.0756812019142581</v>
      </c>
      <c r="O218" s="1468">
        <v>1.0756812019142581</v>
      </c>
    </row>
    <row r="219" spans="2:15">
      <c r="B219" s="1384">
        <v>39083</v>
      </c>
      <c r="C219" s="1385">
        <v>349.59300000000002</v>
      </c>
      <c r="D219" s="1385">
        <v>2626.56</v>
      </c>
      <c r="E219" s="1385">
        <v>1.0108280266006449</v>
      </c>
      <c r="F219" s="1385">
        <v>16.844239612142516</v>
      </c>
      <c r="K219" s="1465">
        <v>42276</v>
      </c>
      <c r="L219" s="1466" t="s">
        <v>2125</v>
      </c>
      <c r="M219" s="1467">
        <v>5.2531000000000001E-2</v>
      </c>
      <c r="N219" s="1468">
        <v>1.0762462680064357</v>
      </c>
      <c r="O219" s="1468">
        <v>1.0762462680064357</v>
      </c>
    </row>
    <row r="220" spans="2:15">
      <c r="B220" s="1384">
        <v>39114</v>
      </c>
      <c r="C220" s="1385">
        <v>350.524</v>
      </c>
      <c r="D220" s="1385">
        <v>2638.12</v>
      </c>
      <c r="E220" s="1385">
        <v>1.008724844950982</v>
      </c>
      <c r="F220" s="1385">
        <v>16.991202991075649</v>
      </c>
      <c r="K220" s="1465">
        <v>42277</v>
      </c>
      <c r="L220" s="1466" t="s">
        <v>2125</v>
      </c>
      <c r="M220" s="1467">
        <v>5.2531000000000001E-2</v>
      </c>
      <c r="N220" s="1468">
        <v>1.0768116309334823</v>
      </c>
      <c r="O220" s="1468">
        <v>1.0768116309334823</v>
      </c>
    </row>
    <row r="221" spans="2:15">
      <c r="B221" s="1384">
        <v>39142</v>
      </c>
      <c r="C221" s="1385">
        <v>351.71699999999998</v>
      </c>
      <c r="D221" s="1385">
        <v>2647.88</v>
      </c>
      <c r="E221" s="1385">
        <v>1.0105222327764332</v>
      </c>
      <c r="F221" s="1385">
        <v>17.169988384099376</v>
      </c>
      <c r="K221" s="1465">
        <v>42278</v>
      </c>
      <c r="L221" s="1466" t="s">
        <v>2125</v>
      </c>
      <c r="M221" s="1467">
        <v>5.2531000000000001E-2</v>
      </c>
      <c r="N221" s="1468">
        <v>1.0773772908513279</v>
      </c>
      <c r="O221" s="1468">
        <v>1.0773772908513279</v>
      </c>
    </row>
    <row r="222" spans="2:15">
      <c r="B222" s="1384">
        <v>39173</v>
      </c>
      <c r="C222" s="1385">
        <v>351.86900000000003</v>
      </c>
      <c r="D222" s="1385">
        <v>2654.5</v>
      </c>
      <c r="E222" s="1385">
        <v>1.0094482340398951</v>
      </c>
      <c r="F222" s="1385">
        <v>17.332214452814629</v>
      </c>
      <c r="K222" s="1465">
        <v>42279</v>
      </c>
      <c r="L222" s="1466" t="s">
        <v>2125</v>
      </c>
      <c r="M222" s="1467">
        <v>5.2531000000000001E-2</v>
      </c>
      <c r="N222" s="1468">
        <v>1.0779432479159849</v>
      </c>
      <c r="O222" s="1468">
        <v>1.0779432479159849</v>
      </c>
    </row>
    <row r="223" spans="2:15">
      <c r="B223" s="1384">
        <v>39203</v>
      </c>
      <c r="C223" s="1385">
        <v>352.02</v>
      </c>
      <c r="D223" s="1385">
        <v>2661.93</v>
      </c>
      <c r="E223" s="1385">
        <v>1.0102807696314628</v>
      </c>
      <c r="F223" s="1385">
        <v>17.510402956807127</v>
      </c>
      <c r="K223" s="1465">
        <v>42280</v>
      </c>
      <c r="L223" s="1466"/>
      <c r="M223" s="1467">
        <v>0</v>
      </c>
      <c r="N223" s="1468">
        <v>1.0779432479159849</v>
      </c>
      <c r="O223" s="1468">
        <v>1.0779432479159849</v>
      </c>
    </row>
    <row r="224" spans="2:15">
      <c r="B224" s="1384">
        <v>39234</v>
      </c>
      <c r="C224" s="1385">
        <v>352.93599999999998</v>
      </c>
      <c r="D224" s="1385">
        <v>2669.38</v>
      </c>
      <c r="E224" s="1385">
        <v>1.0090562894719608</v>
      </c>
      <c r="F224" s="1385">
        <v>17.668982234754651</v>
      </c>
      <c r="K224" s="1465">
        <v>42281</v>
      </c>
      <c r="L224" s="1466"/>
      <c r="M224" s="1467">
        <v>0</v>
      </c>
      <c r="N224" s="1468">
        <v>1.0779432479159849</v>
      </c>
      <c r="O224" s="1468">
        <v>1.0779432479159849</v>
      </c>
    </row>
    <row r="225" spans="2:15">
      <c r="B225" s="1384">
        <v>39264</v>
      </c>
      <c r="C225" s="1385">
        <v>353.92</v>
      </c>
      <c r="D225" s="1385">
        <v>2675.79</v>
      </c>
      <c r="E225" s="1385">
        <v>1.0097263257608722</v>
      </c>
      <c r="F225" s="1385">
        <v>17.840836511832936</v>
      </c>
      <c r="K225" s="1465">
        <v>42282</v>
      </c>
      <c r="L225" s="1466" t="s">
        <v>2125</v>
      </c>
      <c r="M225" s="1467">
        <v>5.2531000000000001E-2</v>
      </c>
      <c r="N225" s="1468">
        <v>1.0785095022835478</v>
      </c>
      <c r="O225" s="1468">
        <v>1.0785095022835478</v>
      </c>
    </row>
    <row r="226" spans="2:15">
      <c r="B226" s="1384">
        <v>39295</v>
      </c>
      <c r="C226" s="1385">
        <v>357.404</v>
      </c>
      <c r="D226" s="1385">
        <v>2688.37</v>
      </c>
      <c r="E226" s="1385">
        <v>1.0099263513682912</v>
      </c>
      <c r="F226" s="1385">
        <v>18.017930923753628</v>
      </c>
      <c r="K226" s="1465">
        <v>42283</v>
      </c>
      <c r="L226" s="1466" t="s">
        <v>2125</v>
      </c>
      <c r="M226" s="1467">
        <v>5.2531000000000001E-2</v>
      </c>
      <c r="N226" s="1468">
        <v>1.0790760541101925</v>
      </c>
      <c r="O226" s="1468">
        <v>1.0790760541101925</v>
      </c>
    </row>
    <row r="227" spans="2:15">
      <c r="B227" s="1384">
        <v>39326</v>
      </c>
      <c r="C227" s="1385">
        <v>361.99700000000001</v>
      </c>
      <c r="D227" s="1385">
        <v>2693.21</v>
      </c>
      <c r="E227" s="1385">
        <v>1.0080496134415582</v>
      </c>
      <c r="F227" s="1385">
        <v>18.162968302706542</v>
      </c>
      <c r="K227" s="1465">
        <v>42284</v>
      </c>
      <c r="L227" s="1466" t="s">
        <v>2125</v>
      </c>
      <c r="M227" s="1467">
        <v>5.2531000000000001E-2</v>
      </c>
      <c r="N227" s="1468">
        <v>1.0796429035521771</v>
      </c>
      <c r="O227" s="1468">
        <v>1.0796429035521771</v>
      </c>
    </row>
    <row r="228" spans="2:15">
      <c r="B228" s="1384">
        <v>39356</v>
      </c>
      <c r="C228" s="1385">
        <v>365.79399999999998</v>
      </c>
      <c r="D228" s="1385">
        <v>2701.29</v>
      </c>
      <c r="E228" s="1385">
        <v>1.0092949262855189</v>
      </c>
      <c r="F228" s="1385">
        <v>18.331791754206414</v>
      </c>
      <c r="K228" s="1465">
        <v>42285</v>
      </c>
      <c r="L228" s="1466" t="s">
        <v>2125</v>
      </c>
      <c r="M228" s="1467">
        <v>5.2531000000000001E-2</v>
      </c>
      <c r="N228" s="1468">
        <v>1.0802100507658421</v>
      </c>
      <c r="O228" s="1468">
        <v>1.0802100507658421</v>
      </c>
    </row>
    <row r="229" spans="2:15">
      <c r="B229" s="1384">
        <v>39387</v>
      </c>
      <c r="C229" s="1385">
        <v>368.334</v>
      </c>
      <c r="D229" s="1385">
        <v>2711.55</v>
      </c>
      <c r="E229" s="1385">
        <v>1.0084467048252397</v>
      </c>
      <c r="F229" s="1385">
        <v>18.486634988071959</v>
      </c>
      <c r="K229" s="1465">
        <v>42286</v>
      </c>
      <c r="L229" s="1466" t="s">
        <v>2125</v>
      </c>
      <c r="M229" s="1467">
        <v>5.2531000000000001E-2</v>
      </c>
      <c r="N229" s="1468">
        <v>1.08077749590761</v>
      </c>
      <c r="O229" s="1468">
        <v>1.08077749590761</v>
      </c>
    </row>
    <row r="230" spans="2:15">
      <c r="B230" s="1384">
        <v>39417</v>
      </c>
      <c r="C230" s="1385">
        <v>374.815</v>
      </c>
      <c r="D230" s="1385">
        <v>2731.62</v>
      </c>
      <c r="E230" s="1385">
        <v>1.0084467048252395</v>
      </c>
      <c r="F230" s="1385">
        <v>18.642786137028146</v>
      </c>
      <c r="K230" s="1465">
        <v>42287</v>
      </c>
      <c r="L230" s="1466"/>
      <c r="M230" s="1467">
        <v>0</v>
      </c>
      <c r="N230" s="1468">
        <v>1.08077749590761</v>
      </c>
      <c r="O230" s="1468">
        <v>1.08077749590761</v>
      </c>
    </row>
    <row r="231" spans="2:15">
      <c r="B231" s="1384">
        <v>39448</v>
      </c>
      <c r="C231" s="1385">
        <v>378.9</v>
      </c>
      <c r="D231" s="1385">
        <v>2746.37</v>
      </c>
      <c r="E231" s="1385">
        <v>1.0092938367057227</v>
      </c>
      <c r="F231" s="1385">
        <v>18.816049147125398</v>
      </c>
      <c r="K231" s="1465">
        <v>42288</v>
      </c>
      <c r="L231" s="1466"/>
      <c r="M231" s="1467">
        <v>0</v>
      </c>
      <c r="N231" s="1468">
        <v>1.08077749590761</v>
      </c>
      <c r="O231" s="1468">
        <v>1.08077749590761</v>
      </c>
    </row>
    <row r="232" spans="2:15">
      <c r="B232" s="1384">
        <v>39479</v>
      </c>
      <c r="C232" s="1385">
        <v>380.90600000000001</v>
      </c>
      <c r="D232" s="1385">
        <v>2759.83</v>
      </c>
      <c r="E232" s="1385">
        <v>1.0080223173492819</v>
      </c>
      <c r="F232" s="1385">
        <v>18.966997464643324</v>
      </c>
      <c r="K232" s="1465">
        <v>42289</v>
      </c>
      <c r="L232" s="1466"/>
      <c r="M232" s="1467">
        <v>0</v>
      </c>
      <c r="N232" s="1468">
        <v>1.08077749590761</v>
      </c>
      <c r="O232" s="1468">
        <v>1.08077749590761</v>
      </c>
    </row>
    <row r="233" spans="2:15">
      <c r="B233" s="1384">
        <v>39508</v>
      </c>
      <c r="C233" s="1385">
        <v>383.73099999999999</v>
      </c>
      <c r="D233" s="1385">
        <v>2773.08</v>
      </c>
      <c r="E233" s="1385">
        <v>1.0084459790490408</v>
      </c>
      <c r="F233" s="1385">
        <v>19.12719232785291</v>
      </c>
      <c r="K233" s="1465">
        <v>42290</v>
      </c>
      <c r="L233" s="1466" t="s">
        <v>2125</v>
      </c>
      <c r="M233" s="1467">
        <v>5.2531000000000001E-2</v>
      </c>
      <c r="N233" s="1468">
        <v>1.0813452391339853</v>
      </c>
      <c r="O233" s="1468">
        <v>1.0813452391339853</v>
      </c>
    </row>
    <row r="234" spans="2:15">
      <c r="B234" s="1384">
        <v>39539</v>
      </c>
      <c r="C234" s="1385">
        <v>386.38</v>
      </c>
      <c r="D234" s="1385">
        <v>2788.33</v>
      </c>
      <c r="E234" s="1385">
        <v>1.0090142575644072</v>
      </c>
      <c r="F234" s="1385">
        <v>19.299609765980129</v>
      </c>
      <c r="K234" s="1465">
        <v>42291</v>
      </c>
      <c r="L234" s="1466" t="s">
        <v>2125</v>
      </c>
      <c r="M234" s="1467">
        <v>5.2531000000000001E-2</v>
      </c>
      <c r="N234" s="1468">
        <v>1.0819132806015548</v>
      </c>
      <c r="O234" s="1468">
        <v>1.0819132806015548</v>
      </c>
    </row>
    <row r="235" spans="2:15">
      <c r="B235" s="1384">
        <v>39569</v>
      </c>
      <c r="C235" s="1385">
        <v>392.59199999999998</v>
      </c>
      <c r="D235" s="1385">
        <v>2810.36</v>
      </c>
      <c r="E235" s="1385">
        <v>1.0087678287685495</v>
      </c>
      <c r="F235" s="1385">
        <v>19.46882543970807</v>
      </c>
      <c r="K235" s="1465">
        <v>42292</v>
      </c>
      <c r="L235" s="1466" t="s">
        <v>2125</v>
      </c>
      <c r="M235" s="1467">
        <v>5.2531000000000001E-2</v>
      </c>
      <c r="N235" s="1468">
        <v>1.0824816204669876</v>
      </c>
      <c r="O235" s="1468">
        <v>1.0824816204669876</v>
      </c>
    </row>
    <row r="236" spans="2:15">
      <c r="B236" s="1384">
        <v>39600</v>
      </c>
      <c r="C236" s="1385">
        <v>400.38200000000001</v>
      </c>
      <c r="D236" s="1385">
        <v>2831.16</v>
      </c>
      <c r="E236" s="1385">
        <v>1.0095559246898425</v>
      </c>
      <c r="F236" s="1385">
        <v>19.654868069409609</v>
      </c>
      <c r="K236" s="1465">
        <v>42293</v>
      </c>
      <c r="L236" s="1466" t="s">
        <v>2125</v>
      </c>
      <c r="M236" s="1467">
        <v>5.2531000000000001E-2</v>
      </c>
      <c r="N236" s="1468">
        <v>1.0830502588870352</v>
      </c>
      <c r="O236" s="1468">
        <v>1.0830502588870352</v>
      </c>
    </row>
    <row r="237" spans="2:15">
      <c r="B237" s="1384">
        <v>39630</v>
      </c>
      <c r="C237" s="1385">
        <v>407.44600000000003</v>
      </c>
      <c r="D237" s="1385">
        <v>2846.16</v>
      </c>
      <c r="E237" s="1385">
        <v>1.0106967121371</v>
      </c>
      <c r="F237" s="1385">
        <v>19.865110535240763</v>
      </c>
      <c r="K237" s="1465">
        <v>42294</v>
      </c>
      <c r="L237" s="1466"/>
      <c r="M237" s="1467">
        <v>0</v>
      </c>
      <c r="N237" s="1468">
        <v>1.0830502588870352</v>
      </c>
      <c r="O237" s="1468">
        <v>1.0830502588870352</v>
      </c>
    </row>
    <row r="238" spans="2:15">
      <c r="B238" s="1384">
        <v>39661</v>
      </c>
      <c r="C238" s="1385">
        <v>406.12700000000001</v>
      </c>
      <c r="D238" s="1385">
        <v>2854.13</v>
      </c>
      <c r="E238" s="1385">
        <v>1.0101765713502602</v>
      </c>
      <c r="F238" s="1385">
        <v>20.067269249983447</v>
      </c>
      <c r="K238" s="1465">
        <v>42295</v>
      </c>
      <c r="L238" s="1466"/>
      <c r="M238" s="1467">
        <v>0</v>
      </c>
      <c r="N238" s="1468">
        <v>1.0830502588870352</v>
      </c>
      <c r="O238" s="1468">
        <v>1.0830502588870352</v>
      </c>
    </row>
    <row r="239" spans="2:15">
      <c r="B239" s="1384">
        <v>39692</v>
      </c>
      <c r="C239" s="1385">
        <v>406.55700000000002</v>
      </c>
      <c r="D239" s="1385">
        <v>2861.55</v>
      </c>
      <c r="E239" s="1385">
        <v>1.011030909274969</v>
      </c>
      <c r="F239" s="1385">
        <v>20.288629476476387</v>
      </c>
      <c r="K239" s="1465">
        <v>42296</v>
      </c>
      <c r="L239" s="1466" t="s">
        <v>2125</v>
      </c>
      <c r="M239" s="1467">
        <v>5.2531000000000001E-2</v>
      </c>
      <c r="N239" s="1468">
        <v>1.0836191960185311</v>
      </c>
      <c r="O239" s="1468">
        <v>1.0836191960185311</v>
      </c>
    </row>
    <row r="240" spans="2:15">
      <c r="B240" s="1384">
        <v>39722</v>
      </c>
      <c r="C240" s="1385">
        <v>410.524</v>
      </c>
      <c r="D240" s="1385">
        <v>2874.43</v>
      </c>
      <c r="E240" s="1385">
        <v>1.0117587656900342</v>
      </c>
      <c r="F240" s="1385">
        <v>20.527198716662195</v>
      </c>
      <c r="K240" s="1465">
        <v>42297</v>
      </c>
      <c r="L240" s="1466" t="s">
        <v>2125</v>
      </c>
      <c r="M240" s="1467">
        <v>5.2531000000000001E-2</v>
      </c>
      <c r="N240" s="1468">
        <v>1.0841884320183917</v>
      </c>
      <c r="O240" s="1468">
        <v>1.0841884320183917</v>
      </c>
    </row>
    <row r="241" spans="2:15">
      <c r="B241" s="1384">
        <v>39753</v>
      </c>
      <c r="C241" s="1385">
        <v>412.10399999999998</v>
      </c>
      <c r="D241" s="1385">
        <v>2884.78</v>
      </c>
      <c r="E241" s="1385">
        <v>1.0101996908301405</v>
      </c>
      <c r="F241" s="1385">
        <v>20.736569797181005</v>
      </c>
      <c r="K241" s="1465">
        <v>42298</v>
      </c>
      <c r="L241" s="1466" t="s">
        <v>2125</v>
      </c>
      <c r="M241" s="1467">
        <v>5.2531000000000001E-2</v>
      </c>
      <c r="N241" s="1468">
        <v>1.0847579670436152</v>
      </c>
      <c r="O241" s="1468">
        <v>1.0847579670436152</v>
      </c>
    </row>
    <row r="242" spans="2:15">
      <c r="B242" s="1384">
        <v>39783</v>
      </c>
      <c r="C242" s="1385">
        <v>411.57499999999999</v>
      </c>
      <c r="D242" s="1385">
        <v>2892.86</v>
      </c>
      <c r="E242" s="1385">
        <v>1.0112409294280835</v>
      </c>
      <c r="F242" s="1385">
        <v>20.969668114851643</v>
      </c>
      <c r="K242" s="1465">
        <v>42299</v>
      </c>
      <c r="L242" s="1466" t="s">
        <v>2125</v>
      </c>
      <c r="M242" s="1467">
        <v>5.2531000000000001E-2</v>
      </c>
      <c r="N242" s="1468">
        <v>1.0853278012512828</v>
      </c>
      <c r="O242" s="1468">
        <v>1.0853278012512828</v>
      </c>
    </row>
    <row r="243" spans="2:15">
      <c r="B243" s="1384">
        <v>39814</v>
      </c>
      <c r="C243" s="1385">
        <v>409.78199999999998</v>
      </c>
      <c r="D243" s="1385">
        <v>2906.74</v>
      </c>
      <c r="E243" s="1385">
        <v>1.0104780743150839</v>
      </c>
      <c r="F243" s="1385">
        <v>21.189389855721704</v>
      </c>
      <c r="K243" s="1465">
        <v>42300</v>
      </c>
      <c r="L243" s="1466" t="s">
        <v>2125</v>
      </c>
      <c r="M243" s="1467">
        <v>5.2531000000000001E-2</v>
      </c>
      <c r="N243" s="1468">
        <v>1.0858979347985582</v>
      </c>
      <c r="O243" s="1468">
        <v>1.0858979347985582</v>
      </c>
    </row>
    <row r="244" spans="2:15">
      <c r="B244" s="1384">
        <v>39845</v>
      </c>
      <c r="C244" s="1385">
        <v>410.84899999999999</v>
      </c>
      <c r="D244" s="1385">
        <v>2922.73</v>
      </c>
      <c r="E244" s="1385">
        <v>1.0085508573858042</v>
      </c>
      <c r="F244" s="1385">
        <v>21.370577306470185</v>
      </c>
      <c r="K244" s="1465">
        <v>42301</v>
      </c>
      <c r="L244" s="1466"/>
      <c r="M244" s="1467">
        <v>0</v>
      </c>
      <c r="N244" s="1468">
        <v>1.0858979347985582</v>
      </c>
      <c r="O244" s="1468">
        <v>1.0858979347985582</v>
      </c>
    </row>
    <row r="245" spans="2:15">
      <c r="B245" s="1384">
        <v>39873</v>
      </c>
      <c r="C245" s="1385">
        <v>407.80799999999999</v>
      </c>
      <c r="D245" s="1385">
        <v>2928.57</v>
      </c>
      <c r="E245" s="1385">
        <v>1.0097088387156097</v>
      </c>
      <c r="F245" s="1385">
        <v>21.578060794798173</v>
      </c>
      <c r="K245" s="1465">
        <v>42302</v>
      </c>
      <c r="L245" s="1466"/>
      <c r="M245" s="1467">
        <v>0</v>
      </c>
      <c r="N245" s="1468">
        <v>1.0858979347985582</v>
      </c>
      <c r="O245" s="1468">
        <v>1.0858979347985582</v>
      </c>
    </row>
    <row r="246" spans="2:15">
      <c r="B246" s="1384">
        <v>39904</v>
      </c>
      <c r="C246" s="1385">
        <v>407.18099999999998</v>
      </c>
      <c r="D246" s="1385">
        <v>2942.63</v>
      </c>
      <c r="E246" s="1385">
        <v>1.008395669248594</v>
      </c>
      <c r="F246" s="1385">
        <v>21.759223056257351</v>
      </c>
      <c r="K246" s="1465">
        <v>42303</v>
      </c>
      <c r="L246" s="1466" t="s">
        <v>2125</v>
      </c>
      <c r="M246" s="1467">
        <v>5.2531000000000001E-2</v>
      </c>
      <c r="N246" s="1468">
        <v>1.0864683678426872</v>
      </c>
      <c r="O246" s="1468">
        <v>1.0864683678426872</v>
      </c>
    </row>
    <row r="247" spans="2:15">
      <c r="B247" s="1384">
        <v>39934</v>
      </c>
      <c r="C247" s="1385">
        <v>406.88499999999999</v>
      </c>
      <c r="D247" s="1385">
        <v>2956.46</v>
      </c>
      <c r="E247" s="1385">
        <v>1.0077089274459567</v>
      </c>
      <c r="F247" s="1385">
        <v>21.926963328078429</v>
      </c>
      <c r="K247" s="1465">
        <v>42304</v>
      </c>
      <c r="L247" s="1466" t="s">
        <v>2125</v>
      </c>
      <c r="M247" s="1467">
        <v>5.2531000000000001E-2</v>
      </c>
      <c r="N247" s="1468">
        <v>1.0870391005409987</v>
      </c>
      <c r="O247" s="1468">
        <v>1.0870391005409987</v>
      </c>
    </row>
    <row r="248" spans="2:15">
      <c r="B248" s="1384">
        <v>39965</v>
      </c>
      <c r="C248" s="1385">
        <v>406.48599999999999</v>
      </c>
      <c r="D248" s="1385">
        <v>2967.1</v>
      </c>
      <c r="E248" s="1385">
        <v>1.0076218232644543</v>
      </c>
      <c r="F248" s="1385">
        <v>22.094086767291213</v>
      </c>
      <c r="K248" s="1465">
        <v>42305</v>
      </c>
      <c r="L248" s="1466" t="s">
        <v>2125</v>
      </c>
      <c r="M248" s="1467">
        <v>5.2531000000000001E-2</v>
      </c>
      <c r="N248" s="1468">
        <v>1.0876101330509038</v>
      </c>
      <c r="O248" s="1468">
        <v>1.0876101330509038</v>
      </c>
    </row>
    <row r="249" spans="2:15">
      <c r="B249" s="1384">
        <v>39995</v>
      </c>
      <c r="C249" s="1385">
        <v>404.71800000000002</v>
      </c>
      <c r="D249" s="1385">
        <v>2974.22</v>
      </c>
      <c r="E249" s="1385">
        <v>1.0079014252372847</v>
      </c>
      <c r="F249" s="1385">
        <v>22.268661542069044</v>
      </c>
      <c r="K249" s="1465">
        <v>42306</v>
      </c>
      <c r="L249" s="1466" t="s">
        <v>2125</v>
      </c>
      <c r="M249" s="1467">
        <v>5.2531000000000001E-2</v>
      </c>
      <c r="N249" s="1468">
        <v>1.0881814655298967</v>
      </c>
      <c r="O249" s="1468">
        <v>1.0881814655298967</v>
      </c>
    </row>
    <row r="250" spans="2:15">
      <c r="B250" s="1384">
        <v>40026</v>
      </c>
      <c r="C250" s="1385">
        <v>403.25299999999999</v>
      </c>
      <c r="D250" s="1385">
        <v>2978.68</v>
      </c>
      <c r="E250" s="1385">
        <v>1.0069374854840563</v>
      </c>
      <c r="F250" s="1385">
        <v>22.423150058266511</v>
      </c>
      <c r="K250" s="1465">
        <v>42307</v>
      </c>
      <c r="L250" s="1466" t="s">
        <v>2125</v>
      </c>
      <c r="M250" s="1467">
        <v>5.2531000000000001E-2</v>
      </c>
      <c r="N250" s="1468">
        <v>1.0887530981355542</v>
      </c>
      <c r="O250" s="1468">
        <v>1.0887530981355542</v>
      </c>
    </row>
    <row r="251" spans="2:15">
      <c r="B251" s="1384">
        <v>40057</v>
      </c>
      <c r="C251" s="1385">
        <v>404.94499999999999</v>
      </c>
      <c r="D251" s="1385">
        <v>2985.83</v>
      </c>
      <c r="E251" s="1385">
        <v>1.0069374854840563</v>
      </c>
      <c r="F251" s="1385">
        <v>22.578710336302549</v>
      </c>
      <c r="K251" s="1465">
        <v>42308</v>
      </c>
      <c r="L251" s="1466"/>
      <c r="M251" s="1467">
        <v>0</v>
      </c>
      <c r="N251" s="1468">
        <v>1.0887530981355542</v>
      </c>
      <c r="O251" s="1468">
        <v>1.0887530981355542</v>
      </c>
    </row>
    <row r="252" spans="2:15">
      <c r="B252" s="1384">
        <v>40087</v>
      </c>
      <c r="C252" s="1385">
        <v>405.12900000000002</v>
      </c>
      <c r="D252" s="1385">
        <v>2994.19</v>
      </c>
      <c r="E252" s="1385">
        <v>1.006937485484056</v>
      </c>
      <c r="F252" s="1385">
        <v>22.735349811509355</v>
      </c>
      <c r="K252" s="1465">
        <v>42309</v>
      </c>
      <c r="L252" s="1466"/>
      <c r="M252" s="1467">
        <v>0</v>
      </c>
      <c r="N252" s="1468">
        <v>1.0887530981355542</v>
      </c>
      <c r="O252" s="1468">
        <v>1.0887530981355542</v>
      </c>
    </row>
    <row r="253" spans="2:15">
      <c r="B253" s="1384">
        <v>40118</v>
      </c>
      <c r="C253" s="1385">
        <v>405.548</v>
      </c>
      <c r="D253" s="1385">
        <v>3006.47</v>
      </c>
      <c r="E253" s="1385">
        <v>1.006606040313162</v>
      </c>
      <c r="F253" s="1385">
        <v>22.885540448898027</v>
      </c>
      <c r="K253" s="1465">
        <v>42310</v>
      </c>
      <c r="L253" s="1466"/>
      <c r="M253" s="1467">
        <v>0</v>
      </c>
      <c r="N253" s="1468">
        <v>1.0887530981355542</v>
      </c>
      <c r="O253" s="1468">
        <v>1.0887530981355542</v>
      </c>
    </row>
    <row r="254" spans="2:15">
      <c r="B254" s="1384">
        <v>40148</v>
      </c>
      <c r="C254" s="1385">
        <v>404.49900000000002</v>
      </c>
      <c r="D254" s="1385">
        <v>3017.59</v>
      </c>
      <c r="E254" s="1385">
        <v>1.0072686672230315</v>
      </c>
      <c r="F254" s="1385">
        <v>23.051887826640293</v>
      </c>
      <c r="K254" s="1465">
        <v>42311</v>
      </c>
      <c r="L254" s="1466" t="s">
        <v>2125</v>
      </c>
      <c r="M254" s="1467">
        <v>5.2531000000000001E-2</v>
      </c>
      <c r="N254" s="1468">
        <v>1.0893250310255358</v>
      </c>
      <c r="O254" s="1468">
        <v>1.0893250310255358</v>
      </c>
    </row>
    <row r="255" spans="2:15">
      <c r="B255" s="1384">
        <v>40179</v>
      </c>
      <c r="C255" s="1385">
        <v>407.04899999999998</v>
      </c>
      <c r="D255" s="1385">
        <v>3040.22</v>
      </c>
      <c r="E255" s="1385">
        <v>1.0066056679915218</v>
      </c>
      <c r="F255" s="1385">
        <v>23.204160944200883</v>
      </c>
      <c r="K255" s="1465">
        <v>42312</v>
      </c>
      <c r="L255" s="1466" t="s">
        <v>2125</v>
      </c>
      <c r="M255" s="1467">
        <v>5.2531000000000001E-2</v>
      </c>
      <c r="N255" s="1468">
        <v>1.0898972643575837</v>
      </c>
      <c r="O255" s="1468">
        <v>1.0898972643575837</v>
      </c>
    </row>
    <row r="256" spans="2:15">
      <c r="B256" s="1384">
        <v>40210</v>
      </c>
      <c r="C256" s="1385">
        <v>411.84300000000002</v>
      </c>
      <c r="D256" s="1385">
        <v>3063.93</v>
      </c>
      <c r="E256" s="1385">
        <v>1.0059434772325486</v>
      </c>
      <c r="F256" s="1385">
        <v>23.342074346473133</v>
      </c>
      <c r="K256" s="1465">
        <v>42313</v>
      </c>
      <c r="L256" s="1466" t="s">
        <v>2125</v>
      </c>
      <c r="M256" s="1467">
        <v>5.2531000000000001E-2</v>
      </c>
      <c r="N256" s="1468">
        <v>1.0904697982895235</v>
      </c>
      <c r="O256" s="1468">
        <v>1.0904697982895235</v>
      </c>
    </row>
    <row r="257" spans="2:15">
      <c r="B257" s="1384">
        <v>40238</v>
      </c>
      <c r="C257" s="1385">
        <v>415.73399999999998</v>
      </c>
      <c r="D257" s="1385">
        <v>3079.86</v>
      </c>
      <c r="E257" s="1385">
        <v>1.0076007032666325</v>
      </c>
      <c r="F257" s="1385">
        <v>23.519490527208351</v>
      </c>
      <c r="K257" s="1465">
        <v>42314</v>
      </c>
      <c r="L257" s="1466" t="s">
        <v>2125</v>
      </c>
      <c r="M257" s="1467">
        <v>5.2531000000000001E-2</v>
      </c>
      <c r="N257" s="1468">
        <v>1.0910426329792631</v>
      </c>
      <c r="O257" s="1468">
        <v>1.0910426329792631</v>
      </c>
    </row>
    <row r="258" spans="2:15">
      <c r="B258" s="1384">
        <v>40269</v>
      </c>
      <c r="C258" s="1385">
        <v>418.91699999999997</v>
      </c>
      <c r="D258" s="1385">
        <v>3097.42</v>
      </c>
      <c r="E258" s="1385">
        <v>1.0066591320264642</v>
      </c>
      <c r="F258" s="1385">
        <v>23.676109919824206</v>
      </c>
      <c r="K258" s="1465">
        <v>42315</v>
      </c>
      <c r="L258" s="1466"/>
      <c r="M258" s="1467">
        <v>0</v>
      </c>
      <c r="N258" s="1468">
        <v>1.0910426329792631</v>
      </c>
      <c r="O258" s="1468">
        <v>1.0910426329792631</v>
      </c>
    </row>
    <row r="259" spans="2:15">
      <c r="B259" s="1384">
        <v>40299</v>
      </c>
      <c r="C259" s="1385">
        <v>423.88499999999999</v>
      </c>
      <c r="D259" s="1385">
        <v>3110.74</v>
      </c>
      <c r="E259" s="1385">
        <v>1.0075136425194853</v>
      </c>
      <c r="F259" s="1385">
        <v>23.854003746013806</v>
      </c>
      <c r="K259" s="1465">
        <v>42316</v>
      </c>
      <c r="L259" s="1466"/>
      <c r="M259" s="1467">
        <v>0</v>
      </c>
      <c r="N259" s="1468">
        <v>1.0910426329792631</v>
      </c>
      <c r="O259" s="1468">
        <v>1.0910426329792631</v>
      </c>
    </row>
    <row r="260" spans="2:15">
      <c r="B260" s="1384">
        <v>40330</v>
      </c>
      <c r="C260" s="1385">
        <v>427.48899999999998</v>
      </c>
      <c r="D260" s="1385">
        <v>3110.74</v>
      </c>
      <c r="E260" s="1385">
        <v>1.0079257581819461</v>
      </c>
      <c r="F260" s="1385">
        <v>24.043064811375949</v>
      </c>
      <c r="K260" s="1465">
        <v>42317</v>
      </c>
      <c r="L260" s="1466" t="s">
        <v>2125</v>
      </c>
      <c r="M260" s="1467">
        <v>5.2531000000000001E-2</v>
      </c>
      <c r="N260" s="1468">
        <v>1.0916157685847934</v>
      </c>
      <c r="O260" s="1468">
        <v>1.0916157685847934</v>
      </c>
    </row>
    <row r="261" spans="2:15">
      <c r="B261" s="1384">
        <v>40360</v>
      </c>
      <c r="C261" s="1385">
        <v>428.15</v>
      </c>
      <c r="D261" s="1385">
        <v>3111.05</v>
      </c>
      <c r="E261" s="1385">
        <v>1.0086102956499179</v>
      </c>
      <c r="F261" s="1385">
        <v>24.250082707732034</v>
      </c>
      <c r="K261" s="1465">
        <v>42318</v>
      </c>
      <c r="L261" s="1466" t="s">
        <v>2125</v>
      </c>
      <c r="M261" s="1467">
        <v>5.2531000000000001E-2</v>
      </c>
      <c r="N261" s="1468">
        <v>1.0921892052641886</v>
      </c>
      <c r="O261" s="1468">
        <v>1.0921892052641886</v>
      </c>
    </row>
    <row r="262" spans="2:15">
      <c r="B262" s="1384">
        <v>40391</v>
      </c>
      <c r="C262" s="1385">
        <v>431.44499999999999</v>
      </c>
      <c r="D262" s="1385">
        <v>3112.29</v>
      </c>
      <c r="E262" s="1385">
        <v>1.0088820963555043</v>
      </c>
      <c r="F262" s="1385">
        <v>24.465474278971058</v>
      </c>
      <c r="K262" s="1465">
        <v>42319</v>
      </c>
      <c r="L262" s="1466" t="s">
        <v>2125</v>
      </c>
      <c r="M262" s="1467">
        <v>5.2531000000000001E-2</v>
      </c>
      <c r="N262" s="1468">
        <v>1.0927629431756058</v>
      </c>
      <c r="O262" s="1468">
        <v>1.0927629431756058</v>
      </c>
    </row>
    <row r="263" spans="2:15">
      <c r="B263" s="1384">
        <v>40422</v>
      </c>
      <c r="C263" s="1385">
        <v>436.423</v>
      </c>
      <c r="D263" s="1385">
        <v>3126.29</v>
      </c>
      <c r="E263" s="1385">
        <v>1.0084766584844942</v>
      </c>
      <c r="F263" s="1385">
        <v>24.672859749095071</v>
      </c>
      <c r="K263" s="1465">
        <v>42320</v>
      </c>
      <c r="L263" s="1466" t="s">
        <v>2125</v>
      </c>
      <c r="M263" s="1467">
        <v>5.2531000000000001E-2</v>
      </c>
      <c r="N263" s="1468">
        <v>1.0933369824772854</v>
      </c>
      <c r="O263" s="1468">
        <v>1.0933369824772854</v>
      </c>
    </row>
    <row r="264" spans="2:15">
      <c r="B264" s="1384">
        <v>40452</v>
      </c>
      <c r="C264" s="1385">
        <v>440.82900000000001</v>
      </c>
      <c r="D264" s="1385">
        <v>3149.74</v>
      </c>
      <c r="E264" s="1385">
        <v>1.0080713835461668</v>
      </c>
      <c r="F264" s="1385">
        <v>24.872003863310798</v>
      </c>
      <c r="K264" s="1465">
        <v>42321</v>
      </c>
      <c r="L264" s="1466" t="s">
        <v>2125</v>
      </c>
      <c r="M264" s="1467">
        <v>5.2531000000000001E-2</v>
      </c>
      <c r="N264" s="1468">
        <v>1.0939113233275506</v>
      </c>
      <c r="O264" s="1468">
        <v>1.0939113233275506</v>
      </c>
    </row>
    <row r="265" spans="2:15">
      <c r="B265" s="1384">
        <v>40483</v>
      </c>
      <c r="C265" s="1385">
        <v>447.20600000000002</v>
      </c>
      <c r="D265" s="1385">
        <v>3175.88</v>
      </c>
      <c r="E265" s="1385">
        <v>1.008071383546167</v>
      </c>
      <c r="F265" s="1385">
        <v>25.072755346053327</v>
      </c>
      <c r="K265" s="1465">
        <v>42322</v>
      </c>
      <c r="L265" s="1466"/>
      <c r="M265" s="1467">
        <v>0</v>
      </c>
      <c r="N265" s="1468">
        <v>1.0939113233275506</v>
      </c>
      <c r="O265" s="1468">
        <v>1.0939113233275506</v>
      </c>
    </row>
    <row r="266" spans="2:15">
      <c r="B266" s="1384">
        <v>40513</v>
      </c>
      <c r="C266" s="1385">
        <v>450.30099999999999</v>
      </c>
      <c r="D266" s="1385">
        <v>3195.89</v>
      </c>
      <c r="E266" s="1385">
        <v>1.0092887868177591</v>
      </c>
      <c r="F266" s="1385">
        <v>25.305650825396647</v>
      </c>
      <c r="K266" s="1465">
        <v>42323</v>
      </c>
      <c r="L266" s="1466"/>
      <c r="M266" s="1467">
        <v>0</v>
      </c>
      <c r="N266" s="1468">
        <v>1.0939113233275506</v>
      </c>
      <c r="O266" s="1468">
        <v>1.0939113233275506</v>
      </c>
    </row>
    <row r="267" spans="2:15">
      <c r="B267" s="1384">
        <v>40544</v>
      </c>
      <c r="C267" s="1385">
        <v>453.875</v>
      </c>
      <c r="D267" s="1385">
        <v>3222.42</v>
      </c>
      <c r="E267" s="1385">
        <v>1.0086232010755674</v>
      </c>
      <c r="F267" s="1385">
        <v>25.52386654081214</v>
      </c>
      <c r="K267" s="1465">
        <v>42324</v>
      </c>
      <c r="L267" s="1466" t="s">
        <v>2125</v>
      </c>
      <c r="M267" s="1467">
        <v>5.2531000000000001E-2</v>
      </c>
      <c r="N267" s="1468">
        <v>1.0944859658848078</v>
      </c>
      <c r="O267" s="1468">
        <v>1.0944859658848078</v>
      </c>
    </row>
    <row r="268" spans="2:15">
      <c r="B268" s="1384">
        <v>40575</v>
      </c>
      <c r="C268" s="1385">
        <v>458.39699999999999</v>
      </c>
      <c r="D268" s="1385">
        <v>3248.2</v>
      </c>
      <c r="E268" s="1385">
        <v>1.0084390842010735</v>
      </c>
      <c r="F268" s="1385">
        <v>25.739264599687019</v>
      </c>
      <c r="K268" s="1465">
        <v>42325</v>
      </c>
      <c r="L268" s="1466" t="s">
        <v>2125</v>
      </c>
      <c r="M268" s="1467">
        <v>5.2531000000000001E-2</v>
      </c>
      <c r="N268" s="1468">
        <v>1.0950609103075468</v>
      </c>
      <c r="O268" s="1468">
        <v>1.0950609103075468</v>
      </c>
    </row>
    <row r="269" spans="2:15">
      <c r="B269" s="1384">
        <v>40603</v>
      </c>
      <c r="C269" s="1385">
        <v>461.24900000000002</v>
      </c>
      <c r="D269" s="1385">
        <v>3273.86</v>
      </c>
      <c r="E269" s="1385">
        <v>1.0092045846073012</v>
      </c>
      <c r="F269" s="1385">
        <v>25.97618383842455</v>
      </c>
      <c r="K269" s="1465">
        <v>42326</v>
      </c>
      <c r="L269" s="1466" t="s">
        <v>2125</v>
      </c>
      <c r="M269" s="1467">
        <v>5.2531000000000001E-2</v>
      </c>
      <c r="N269" s="1468">
        <v>1.0956361567543405</v>
      </c>
      <c r="O269" s="1468">
        <v>1.0956361567543405</v>
      </c>
    </row>
    <row r="270" spans="2:15">
      <c r="B270" s="1384">
        <v>40634</v>
      </c>
      <c r="C270" s="1385">
        <v>463.31099999999998</v>
      </c>
      <c r="D270" s="1385">
        <v>3299.07</v>
      </c>
      <c r="E270" s="1385">
        <v>1.0084015541577225</v>
      </c>
      <c r="F270" s="1385">
        <v>26.194424153754028</v>
      </c>
      <c r="K270" s="1465">
        <v>42327</v>
      </c>
      <c r="L270" s="1466" t="s">
        <v>2125</v>
      </c>
      <c r="M270" s="1467">
        <v>5.2531000000000001E-2</v>
      </c>
      <c r="N270" s="1468">
        <v>1.0962117053838452</v>
      </c>
      <c r="O270" s="1468">
        <v>1.0962117053838452</v>
      </c>
    </row>
    <row r="271" spans="2:15">
      <c r="B271" s="1384">
        <v>40664</v>
      </c>
      <c r="C271" s="1385">
        <v>465.31099999999998</v>
      </c>
      <c r="D271" s="1385">
        <v>3314.58</v>
      </c>
      <c r="E271" s="1385">
        <v>1.0098798495673293</v>
      </c>
      <c r="F271" s="1385">
        <v>26.453221123895936</v>
      </c>
      <c r="K271" s="1465">
        <v>42328</v>
      </c>
      <c r="L271" s="1466" t="s">
        <v>2125</v>
      </c>
      <c r="M271" s="1467">
        <v>5.2531000000000001E-2</v>
      </c>
      <c r="N271" s="1468">
        <v>1.0967875563548004</v>
      </c>
      <c r="O271" s="1468">
        <v>1.0967875563548004</v>
      </c>
    </row>
    <row r="272" spans="2:15">
      <c r="B272" s="1384">
        <v>40695</v>
      </c>
      <c r="C272" s="1385">
        <v>464.46300000000002</v>
      </c>
      <c r="D272" s="1385">
        <v>3319.55</v>
      </c>
      <c r="E272" s="1385">
        <v>1.0095627565914342</v>
      </c>
      <c r="F272" s="1385">
        <v>26.706186838563141</v>
      </c>
      <c r="K272" s="1465">
        <v>42329</v>
      </c>
      <c r="L272" s="1466"/>
      <c r="M272" s="1467">
        <v>0</v>
      </c>
      <c r="N272" s="1468">
        <v>1.0967875563548004</v>
      </c>
      <c r="O272" s="1468">
        <v>1.0967875563548004</v>
      </c>
    </row>
    <row r="273" spans="2:15">
      <c r="B273" s="1384">
        <v>40725</v>
      </c>
      <c r="C273" s="1385">
        <v>463.92700000000002</v>
      </c>
      <c r="D273" s="1385">
        <v>3324.86</v>
      </c>
      <c r="E273" s="1385">
        <v>1.0096788504099796</v>
      </c>
      <c r="F273" s="1385">
        <v>26.96467202599456</v>
      </c>
      <c r="K273" s="1465">
        <v>42330</v>
      </c>
      <c r="L273" s="1466"/>
      <c r="M273" s="1467">
        <v>0</v>
      </c>
      <c r="N273" s="1468">
        <v>1.0967875563548004</v>
      </c>
      <c r="O273" s="1468">
        <v>1.0967875563548004</v>
      </c>
    </row>
    <row r="274" spans="2:15">
      <c r="B274" s="1384">
        <v>40756</v>
      </c>
      <c r="C274" s="1385">
        <v>465.96800000000002</v>
      </c>
      <c r="D274" s="1385">
        <v>3337.16</v>
      </c>
      <c r="E274" s="1385">
        <v>1.0107406292787873</v>
      </c>
      <c r="F274" s="1385">
        <v>27.254289571849853</v>
      </c>
      <c r="K274" s="1465">
        <v>42331</v>
      </c>
      <c r="L274" s="1466" t="s">
        <v>2125</v>
      </c>
      <c r="M274" s="1467">
        <v>5.2531000000000001E-2</v>
      </c>
      <c r="N274" s="1468">
        <v>1.0973637098260292</v>
      </c>
      <c r="O274" s="1468">
        <v>1.0973637098260292</v>
      </c>
    </row>
    <row r="275" spans="2:15">
      <c r="B275" s="1384">
        <v>40787</v>
      </c>
      <c r="C275" s="1385">
        <v>468.97500000000002</v>
      </c>
      <c r="D275" s="1385">
        <v>3354.85</v>
      </c>
      <c r="E275" s="1385">
        <v>1.00941760689889</v>
      </c>
      <c r="F275" s="1385">
        <v>27.510959757346054</v>
      </c>
      <c r="K275" s="1465">
        <v>42332</v>
      </c>
      <c r="L275" s="1466" t="s">
        <v>2125</v>
      </c>
      <c r="M275" s="1467">
        <v>5.2531000000000001E-2</v>
      </c>
      <c r="N275" s="1468">
        <v>1.0979401659564378</v>
      </c>
      <c r="O275" s="1468">
        <v>1.0979401659564378</v>
      </c>
    </row>
    <row r="276" spans="2:15">
      <c r="B276" s="1384">
        <v>40817</v>
      </c>
      <c r="C276" s="1385">
        <v>471.46600000000001</v>
      </c>
      <c r="D276" s="1385">
        <v>3369.28</v>
      </c>
      <c r="E276" s="1385">
        <v>1.0088195463919019</v>
      </c>
      <c r="F276" s="1385">
        <v>27.753593943211712</v>
      </c>
      <c r="K276" s="1465">
        <v>42333</v>
      </c>
      <c r="L276" s="1466" t="s">
        <v>2125</v>
      </c>
      <c r="M276" s="1467">
        <v>5.2531000000000001E-2</v>
      </c>
      <c r="N276" s="1468">
        <v>1.0985169249050164</v>
      </c>
      <c r="O276" s="1468">
        <v>1.0985169249050164</v>
      </c>
    </row>
    <row r="277" spans="2:15">
      <c r="B277" s="1384">
        <v>40848</v>
      </c>
      <c r="C277" s="1385">
        <v>473.80799999999999</v>
      </c>
      <c r="D277" s="1385">
        <v>3386.8</v>
      </c>
      <c r="E277" s="1385">
        <v>1.0086047745492386</v>
      </c>
      <c r="F277" s="1385">
        <v>27.992407362024164</v>
      </c>
      <c r="K277" s="1465">
        <v>42334</v>
      </c>
      <c r="L277" s="1466" t="s">
        <v>2125</v>
      </c>
      <c r="M277" s="1467">
        <v>5.2531000000000001E-2</v>
      </c>
      <c r="N277" s="1468">
        <v>1.0990939868308383</v>
      </c>
      <c r="O277" s="1468">
        <v>1.0990939868308383</v>
      </c>
    </row>
    <row r="278" spans="2:15">
      <c r="B278" s="1384">
        <v>40878</v>
      </c>
      <c r="C278" s="1385">
        <v>473.25200000000001</v>
      </c>
      <c r="D278" s="1385">
        <v>3403.73</v>
      </c>
      <c r="E278" s="1385">
        <v>1.0090732804800764</v>
      </c>
      <c r="F278" s="1385">
        <v>28.246390325332364</v>
      </c>
      <c r="K278" s="1465">
        <v>42335</v>
      </c>
      <c r="L278" s="1466" t="s">
        <v>2125</v>
      </c>
      <c r="M278" s="1467">
        <v>5.2531000000000001E-2</v>
      </c>
      <c r="N278" s="1468">
        <v>1.0996713518930603</v>
      </c>
      <c r="O278" s="1468">
        <v>1.0996713518930603</v>
      </c>
    </row>
    <row r="279" spans="2:15">
      <c r="B279" s="1384">
        <v>40909</v>
      </c>
      <c r="C279" s="1385">
        <v>474.42899999999997</v>
      </c>
      <c r="D279" s="1385">
        <v>3422.79</v>
      </c>
      <c r="E279" s="1385">
        <v>1.0089101617717657</v>
      </c>
      <c r="F279" s="1385">
        <v>28.498070232599513</v>
      </c>
      <c r="K279" s="1465">
        <v>42336</v>
      </c>
      <c r="L279" s="1466"/>
      <c r="M279" s="1467">
        <v>0</v>
      </c>
      <c r="N279" s="1468">
        <v>1.0996713518930603</v>
      </c>
      <c r="O279" s="1468">
        <v>1.0996713518930603</v>
      </c>
    </row>
    <row r="280" spans="2:15">
      <c r="B280" s="1384">
        <v>40940</v>
      </c>
      <c r="C280" s="1385">
        <v>474.13799999999998</v>
      </c>
      <c r="D280" s="1385">
        <v>3438.19</v>
      </c>
      <c r="E280" s="1385">
        <v>1.0074877292470876</v>
      </c>
      <c r="F280" s="1385">
        <v>28.711456066565706</v>
      </c>
      <c r="K280" s="1465">
        <v>42337</v>
      </c>
      <c r="L280" s="1466"/>
      <c r="M280" s="1467">
        <v>0</v>
      </c>
      <c r="N280" s="1468">
        <v>1.0996713518930603</v>
      </c>
      <c r="O280" s="1468">
        <v>1.0996713518930603</v>
      </c>
    </row>
    <row r="281" spans="2:15">
      <c r="B281" s="1384">
        <v>40969</v>
      </c>
      <c r="C281" s="1385">
        <v>476.166</v>
      </c>
      <c r="D281" s="1385">
        <v>3445.41</v>
      </c>
      <c r="E281" s="1385">
        <v>1.0082113884808406</v>
      </c>
      <c r="F281" s="1385">
        <v>28.947216986178862</v>
      </c>
      <c r="K281" s="1465">
        <v>42338</v>
      </c>
      <c r="L281" s="1466" t="s">
        <v>2125</v>
      </c>
      <c r="M281" s="1467">
        <v>5.2531000000000001E-2</v>
      </c>
      <c r="N281" s="1468">
        <v>1.1002490202509232</v>
      </c>
      <c r="O281" s="1468">
        <v>1.1002490202509232</v>
      </c>
    </row>
    <row r="282" spans="2:15">
      <c r="B282" s="1384">
        <v>41000</v>
      </c>
      <c r="C282" s="1385">
        <v>480.22899999999998</v>
      </c>
      <c r="D282" s="1385">
        <v>3467.46</v>
      </c>
      <c r="E282" s="1385">
        <v>1.0071187588624242</v>
      </c>
      <c r="F282" s="1385">
        <v>29.15328524364174</v>
      </c>
      <c r="K282" s="1465">
        <v>42339</v>
      </c>
      <c r="L282" s="1466" t="s">
        <v>2125</v>
      </c>
      <c r="M282" s="1467">
        <v>5.2531000000000001E-2</v>
      </c>
      <c r="N282" s="1468">
        <v>1.1008269920637512</v>
      </c>
      <c r="O282" s="1468">
        <v>1.1008269920637512</v>
      </c>
    </row>
    <row r="283" spans="2:15">
      <c r="B283" s="1384">
        <v>41030</v>
      </c>
      <c r="C283" s="1385">
        <v>485.14</v>
      </c>
      <c r="D283" s="1385">
        <v>3479.94</v>
      </c>
      <c r="E283" s="1385">
        <v>1.007447242329657</v>
      </c>
      <c r="F283" s="1385">
        <v>29.370396823556753</v>
      </c>
      <c r="G283" s="11"/>
      <c r="K283" s="1465">
        <v>42340</v>
      </c>
      <c r="L283" s="1466" t="s">
        <v>2125</v>
      </c>
      <c r="M283" s="1467">
        <v>5.2531000000000001E-2</v>
      </c>
      <c r="N283" s="1468">
        <v>1.1014052674909522</v>
      </c>
      <c r="O283" s="1468">
        <v>1.1014052674909522</v>
      </c>
    </row>
    <row r="284" spans="2:15">
      <c r="B284" s="1384">
        <v>41061</v>
      </c>
      <c r="C284" s="1385">
        <v>488.34199999999998</v>
      </c>
      <c r="D284" s="1385">
        <v>3482.72</v>
      </c>
      <c r="E284" s="1385">
        <v>1.0064150263426446</v>
      </c>
      <c r="F284" s="1385">
        <v>29.558808692873793</v>
      </c>
      <c r="K284" s="1465">
        <v>42341</v>
      </c>
      <c r="L284" s="1466" t="s">
        <v>2125</v>
      </c>
      <c r="M284" s="1467">
        <v>5.2531000000000001E-2</v>
      </c>
      <c r="N284" s="1468">
        <v>1.101983846692018</v>
      </c>
      <c r="O284" s="1468">
        <v>1.101983846692018</v>
      </c>
    </row>
    <row r="285" spans="2:15">
      <c r="B285" s="1384">
        <v>41091</v>
      </c>
      <c r="C285" s="1385">
        <v>494.89100000000002</v>
      </c>
      <c r="D285" s="1385">
        <v>3497.7</v>
      </c>
      <c r="E285" s="1385">
        <v>1.0067996486835762</v>
      </c>
      <c r="F285" s="1385">
        <v>29.759798207490373</v>
      </c>
      <c r="K285" s="1465">
        <v>42342</v>
      </c>
      <c r="L285" s="1466" t="s">
        <v>2125</v>
      </c>
      <c r="M285" s="1467">
        <v>5.2531000000000001E-2</v>
      </c>
      <c r="N285" s="1468">
        <v>1.1025627298265237</v>
      </c>
      <c r="O285" s="1468">
        <v>1.1025627298265237</v>
      </c>
    </row>
    <row r="286" spans="2:15">
      <c r="B286" s="1384">
        <v>41122</v>
      </c>
      <c r="C286" s="1385">
        <v>501.95699999999999</v>
      </c>
      <c r="D286" s="1385">
        <v>3512.04</v>
      </c>
      <c r="E286" s="1385">
        <v>1.0069181066014252</v>
      </c>
      <c r="F286" s="1385">
        <v>29.965679663926696</v>
      </c>
      <c r="K286" s="1465">
        <v>42343</v>
      </c>
      <c r="L286" s="1466"/>
      <c r="M286" s="1467">
        <v>0</v>
      </c>
      <c r="N286" s="1468">
        <v>1.1025627298265237</v>
      </c>
      <c r="O286" s="1468">
        <v>1.1025627298265237</v>
      </c>
    </row>
    <row r="287" spans="2:15">
      <c r="B287" s="1384">
        <v>41153</v>
      </c>
      <c r="C287" s="1385">
        <v>506.80399999999997</v>
      </c>
      <c r="D287" s="1385">
        <v>3532.06</v>
      </c>
      <c r="E287" s="1385">
        <v>1.0053899533259578</v>
      </c>
      <c r="F287" s="1385">
        <v>30.127193278695866</v>
      </c>
      <c r="K287" s="1465">
        <v>42344</v>
      </c>
      <c r="L287" s="1466"/>
      <c r="M287" s="1467">
        <v>0</v>
      </c>
      <c r="N287" s="1468">
        <v>1.1025627298265237</v>
      </c>
      <c r="O287" s="1468">
        <v>1.1025627298265237</v>
      </c>
    </row>
    <row r="288" spans="2:15">
      <c r="B288" s="1384">
        <v>41183</v>
      </c>
      <c r="C288" s="1385">
        <v>506.92599999999999</v>
      </c>
      <c r="D288" s="1385">
        <v>3552.9</v>
      </c>
      <c r="E288" s="1385">
        <v>1.0061133864051108</v>
      </c>
      <c r="F288" s="1385">
        <v>30.311372452509993</v>
      </c>
      <c r="K288" s="1465">
        <v>42345</v>
      </c>
      <c r="L288" s="1466" t="s">
        <v>2125</v>
      </c>
      <c r="M288" s="1467">
        <v>5.2531000000000001E-2</v>
      </c>
      <c r="N288" s="1468">
        <v>1.1031419170541288</v>
      </c>
      <c r="O288" s="1468">
        <v>1.1031419170541288</v>
      </c>
    </row>
    <row r="289" spans="2:15">
      <c r="B289" s="1384">
        <v>41214</v>
      </c>
      <c r="C289" s="1385">
        <v>506.79500000000002</v>
      </c>
      <c r="D289" s="1385">
        <v>3574.22</v>
      </c>
      <c r="E289" s="1385">
        <v>1.0054884576647556</v>
      </c>
      <c r="F289" s="1385">
        <v>30.477735136976232</v>
      </c>
      <c r="K289" s="1465">
        <v>42346</v>
      </c>
      <c r="L289" s="1466" t="s">
        <v>2125</v>
      </c>
      <c r="M289" s="1467">
        <v>5.2531000000000001E-2</v>
      </c>
      <c r="N289" s="1468">
        <v>1.1037214085345766</v>
      </c>
      <c r="O289" s="1468">
        <v>1.1037214085345766</v>
      </c>
    </row>
    <row r="290" spans="2:15">
      <c r="B290" s="1384">
        <v>41244</v>
      </c>
      <c r="C290" s="1385">
        <v>510.25200000000001</v>
      </c>
      <c r="D290" s="1385">
        <v>3602.46</v>
      </c>
      <c r="E290" s="1385">
        <v>1.0055015154231364</v>
      </c>
      <c r="F290" s="1385">
        <v>30.645408866894574</v>
      </c>
      <c r="K290" s="1465">
        <v>42347</v>
      </c>
      <c r="L290" s="1466" t="s">
        <v>2125</v>
      </c>
      <c r="M290" s="1467">
        <v>5.2531000000000001E-2</v>
      </c>
      <c r="N290" s="1468">
        <v>1.1043012044276939</v>
      </c>
      <c r="O290" s="1468">
        <v>1.1043012044276939</v>
      </c>
    </row>
    <row r="291" spans="2:15">
      <c r="B291" s="1384">
        <v>41275</v>
      </c>
      <c r="C291" s="1385">
        <v>511.97699999999998</v>
      </c>
      <c r="D291" s="1385">
        <v>3633.44</v>
      </c>
      <c r="E291" s="1385">
        <v>1.0060143970219473</v>
      </c>
      <c r="F291" s="1385">
        <v>30.82972252271998</v>
      </c>
      <c r="K291" s="1465">
        <v>42348</v>
      </c>
      <c r="L291" s="1466" t="s">
        <v>2125</v>
      </c>
      <c r="M291" s="1467">
        <v>5.2531000000000001E-2</v>
      </c>
      <c r="N291" s="1468">
        <v>1.1048813048933919</v>
      </c>
      <c r="O291" s="1468">
        <v>1.1048813048933919</v>
      </c>
    </row>
    <row r="292" spans="2:15">
      <c r="B292" s="1384">
        <v>41306</v>
      </c>
      <c r="C292" s="1385">
        <v>513.46699999999998</v>
      </c>
      <c r="D292" s="1385">
        <v>3655.24</v>
      </c>
      <c r="E292" s="1385">
        <v>1.0049274991744226</v>
      </c>
      <c r="F292" s="1385">
        <v>30.98163595499836</v>
      </c>
      <c r="K292" s="1465">
        <v>42349</v>
      </c>
      <c r="L292" s="1466" t="s">
        <v>2125</v>
      </c>
      <c r="M292" s="1467">
        <v>5.2531000000000001E-2</v>
      </c>
      <c r="N292" s="1468">
        <v>1.1054617100916655</v>
      </c>
      <c r="O292" s="1468">
        <v>1.1054617100916655</v>
      </c>
    </row>
    <row r="293" spans="2:15">
      <c r="B293" s="1384">
        <v>41334</v>
      </c>
      <c r="C293" s="1385">
        <v>514.52599999999995</v>
      </c>
      <c r="D293" s="1385">
        <v>3672.42</v>
      </c>
      <c r="E293" s="1385">
        <v>1.0054940366101026</v>
      </c>
      <c r="F293" s="1385">
        <v>31.151850197175992</v>
      </c>
      <c r="K293" s="1465">
        <v>42350</v>
      </c>
      <c r="L293" s="1466"/>
      <c r="M293" s="1467">
        <v>0</v>
      </c>
      <c r="N293" s="1468">
        <v>1.1054617100916655</v>
      </c>
      <c r="O293" s="1468">
        <v>1.1054617100916655</v>
      </c>
    </row>
    <row r="294" spans="2:15">
      <c r="B294" s="1384">
        <v>41365</v>
      </c>
      <c r="C294" s="1385">
        <v>515.27599999999995</v>
      </c>
      <c r="D294" s="1385">
        <v>3692.62</v>
      </c>
      <c r="E294" s="1385">
        <v>1.0061364605097283</v>
      </c>
      <c r="F294" s="1385">
        <v>31.343012295715933</v>
      </c>
      <c r="K294" s="1465">
        <v>42351</v>
      </c>
      <c r="L294" s="1466"/>
      <c r="M294" s="1467">
        <v>0</v>
      </c>
      <c r="N294" s="1468">
        <v>1.1054617100916655</v>
      </c>
      <c r="O294" s="1468">
        <v>1.1054617100916655</v>
      </c>
    </row>
    <row r="295" spans="2:15">
      <c r="B295" s="1384">
        <v>41395</v>
      </c>
      <c r="C295" s="1385">
        <v>515.29899999999998</v>
      </c>
      <c r="D295" s="1385">
        <v>3706.28</v>
      </c>
      <c r="E295" s="1385">
        <v>1.0059853629993882</v>
      </c>
      <c r="F295" s="1385">
        <v>31.530611601800082</v>
      </c>
      <c r="K295" s="1465">
        <v>42352</v>
      </c>
      <c r="L295" s="1466" t="s">
        <v>2125</v>
      </c>
      <c r="M295" s="1467">
        <v>5.2531000000000001E-2</v>
      </c>
      <c r="N295" s="1468">
        <v>1.1060424201825938</v>
      </c>
      <c r="O295" s="1468">
        <v>1.1060424201825938</v>
      </c>
    </row>
    <row r="296" spans="2:15">
      <c r="B296" s="1384">
        <v>41426</v>
      </c>
      <c r="C296" s="1385">
        <v>519.15300000000002</v>
      </c>
      <c r="D296" s="1385">
        <v>3715.92</v>
      </c>
      <c r="E296" s="1385">
        <v>1.0060527337434972</v>
      </c>
      <c r="F296" s="1385">
        <v>31.721457998595405</v>
      </c>
      <c r="G296" s="66"/>
      <c r="K296" s="1465">
        <v>42353</v>
      </c>
      <c r="L296" s="1466" t="s">
        <v>2125</v>
      </c>
      <c r="M296" s="1467">
        <v>5.2531000000000001E-2</v>
      </c>
      <c r="N296" s="1468">
        <v>1.10662343532634</v>
      </c>
      <c r="O296" s="1468">
        <v>1.10662343532634</v>
      </c>
    </row>
    <row r="297" spans="2:15">
      <c r="B297" s="1384">
        <v>41456</v>
      </c>
      <c r="C297" s="1385">
        <v>520.50800000000004</v>
      </c>
      <c r="D297" s="1385">
        <v>3717.03</v>
      </c>
      <c r="E297" s="1385">
        <v>1.0072409169740031</v>
      </c>
      <c r="F297" s="1385">
        <v>31.951150442257561</v>
      </c>
      <c r="K297" s="1465">
        <v>42354</v>
      </c>
      <c r="L297" s="1466" t="s">
        <v>2125</v>
      </c>
      <c r="M297" s="1467">
        <v>5.2531000000000001E-2</v>
      </c>
      <c r="N297" s="1468">
        <v>1.1072047556831512</v>
      </c>
      <c r="O297" s="1468">
        <v>1.1072047556831512</v>
      </c>
    </row>
    <row r="298" spans="2:15">
      <c r="B298" s="1384">
        <v>41487</v>
      </c>
      <c r="C298" s="1385">
        <v>521.27</v>
      </c>
      <c r="D298" s="1385">
        <v>3725.95</v>
      </c>
      <c r="E298" s="1385">
        <v>1.0071031495053051</v>
      </c>
      <c r="F298" s="1385">
        <v>32.178104240715413</v>
      </c>
      <c r="K298" s="1465">
        <v>42355</v>
      </c>
      <c r="L298" s="1466" t="s">
        <v>2125</v>
      </c>
      <c r="M298" s="1467">
        <v>5.2531000000000001E-2</v>
      </c>
      <c r="N298" s="1468">
        <v>1.1077863814133591</v>
      </c>
      <c r="O298" s="1468">
        <v>1.1077863814133591</v>
      </c>
    </row>
    <row r="299" spans="2:15">
      <c r="B299" s="1384">
        <v>41518</v>
      </c>
      <c r="C299" s="1385">
        <v>529.08500000000004</v>
      </c>
      <c r="D299" s="1385">
        <v>3738.99</v>
      </c>
      <c r="E299" s="1385">
        <v>1.0071302882501354</v>
      </c>
      <c r="F299" s="1385">
        <v>32.407543399294617</v>
      </c>
      <c r="K299" s="1465">
        <v>42356</v>
      </c>
      <c r="L299" s="1466" t="s">
        <v>2125</v>
      </c>
      <c r="M299" s="1467">
        <v>5.2531000000000001E-2</v>
      </c>
      <c r="N299" s="1468">
        <v>1.1083683126773793</v>
      </c>
      <c r="O299" s="1468">
        <v>1.1083683126773793</v>
      </c>
    </row>
    <row r="300" spans="2:15">
      <c r="B300" s="1384">
        <v>41548</v>
      </c>
      <c r="C300" s="1385">
        <v>533.62099999999998</v>
      </c>
      <c r="D300" s="1385">
        <v>3760.3</v>
      </c>
      <c r="E300" s="1385">
        <v>1.0081051023495244</v>
      </c>
      <c r="F300" s="1385">
        <v>32.670209855442558</v>
      </c>
      <c r="G300" s="67"/>
      <c r="K300" s="1465">
        <v>42357</v>
      </c>
      <c r="L300" s="1466"/>
      <c r="M300" s="1467">
        <v>0</v>
      </c>
      <c r="N300" s="1468">
        <v>1.1083683126773793</v>
      </c>
      <c r="O300" s="1468">
        <v>1.1083683126773793</v>
      </c>
    </row>
    <row r="301" spans="2:15">
      <c r="B301" s="1384">
        <v>41579</v>
      </c>
      <c r="C301" s="1385">
        <v>535.16800000000001</v>
      </c>
      <c r="D301" s="1385">
        <v>3780.61</v>
      </c>
      <c r="E301" s="1385">
        <v>1.0071920752752215</v>
      </c>
      <c r="F301" s="1385">
        <v>32.905176463980183</v>
      </c>
      <c r="G301" s="67"/>
      <c r="K301" s="1465">
        <v>42358</v>
      </c>
      <c r="L301" s="1466"/>
      <c r="M301" s="1467">
        <v>0</v>
      </c>
      <c r="N301" s="1468">
        <v>1.1083683126773793</v>
      </c>
      <c r="O301" s="1468">
        <v>1.1083683126773793</v>
      </c>
    </row>
    <row r="302" spans="2:15">
      <c r="B302" s="1384">
        <v>41609</v>
      </c>
      <c r="C302" s="1385">
        <v>538.37</v>
      </c>
      <c r="D302" s="1385">
        <v>3815.39</v>
      </c>
      <c r="E302" s="1385">
        <v>1.0078974581644051</v>
      </c>
      <c r="F302" s="1385">
        <v>33.165043718496833</v>
      </c>
      <c r="G302" s="66"/>
      <c r="K302" s="1465">
        <v>42359</v>
      </c>
      <c r="L302" s="1466" t="s">
        <v>2125</v>
      </c>
      <c r="M302" s="1467">
        <v>5.2531000000000001E-2</v>
      </c>
      <c r="N302" s="1468">
        <v>1.1089505496357119</v>
      </c>
      <c r="O302" s="1468">
        <v>1.1089505496357119</v>
      </c>
    </row>
    <row r="303" spans="2:15">
      <c r="B303" s="1384">
        <v>41640</v>
      </c>
      <c r="C303" s="1385">
        <v>540.95899999999995</v>
      </c>
      <c r="D303" s="1385">
        <v>3836.38</v>
      </c>
      <c r="E303" s="1385">
        <v>1.0084934395272054</v>
      </c>
      <c r="F303" s="1385">
        <v>33.446729011737006</v>
      </c>
      <c r="K303" s="1465">
        <v>42360</v>
      </c>
      <c r="L303" s="1466" t="s">
        <v>2125</v>
      </c>
      <c r="M303" s="1467">
        <v>5.2531000000000001E-2</v>
      </c>
      <c r="N303" s="1468">
        <v>1.109533092448941</v>
      </c>
      <c r="O303" s="1468">
        <v>1.109533092448941</v>
      </c>
    </row>
    <row r="304" spans="2:15">
      <c r="B304" s="1384">
        <v>41671</v>
      </c>
      <c r="C304" s="1385">
        <v>543.03800000000001</v>
      </c>
      <c r="D304" s="1385">
        <v>3862.84</v>
      </c>
      <c r="E304" s="1385">
        <v>1.007901464239193</v>
      </c>
      <c r="F304" s="1385">
        <v>33.711007144941227</v>
      </c>
      <c r="K304" s="1465">
        <v>42361</v>
      </c>
      <c r="L304" s="1466" t="s">
        <v>2125</v>
      </c>
      <c r="M304" s="1467">
        <v>5.2531000000000001E-2</v>
      </c>
      <c r="N304" s="1468">
        <v>1.1101159412777355</v>
      </c>
      <c r="O304" s="1468">
        <v>1.1101159412777355</v>
      </c>
    </row>
    <row r="305" spans="2:15">
      <c r="B305" s="1384">
        <v>41699</v>
      </c>
      <c r="C305" s="1385">
        <v>552.08699999999999</v>
      </c>
      <c r="D305" s="1385">
        <v>3898.38</v>
      </c>
      <c r="E305" s="1385">
        <v>1.0076595732083427</v>
      </c>
      <c r="F305" s="1385">
        <v>33.969219072094866</v>
      </c>
      <c r="K305" s="1465">
        <v>42362</v>
      </c>
      <c r="L305" s="1466" t="s">
        <v>2125</v>
      </c>
      <c r="M305" s="1467">
        <v>5.2531000000000001E-2</v>
      </c>
      <c r="N305" s="1468">
        <v>1.110699096282848</v>
      </c>
      <c r="O305" s="1468">
        <v>1.110699096282848</v>
      </c>
    </row>
    <row r="306" spans="2:15">
      <c r="B306" s="1384">
        <v>41730</v>
      </c>
      <c r="C306" s="1385">
        <v>556.41999999999996</v>
      </c>
      <c r="D306" s="1385">
        <v>3924.5</v>
      </c>
      <c r="E306" s="1385">
        <v>1.0082266762081393</v>
      </c>
      <c r="F306" s="1385">
        <v>34.248672838444342</v>
      </c>
      <c r="K306" s="1465">
        <v>42363</v>
      </c>
      <c r="L306" s="1466"/>
      <c r="M306" s="1467">
        <v>0</v>
      </c>
      <c r="N306" s="1468">
        <v>1.110699096282848</v>
      </c>
      <c r="O306" s="1468">
        <v>1.110699096282848</v>
      </c>
    </row>
    <row r="307" spans="2:15">
      <c r="B307" s="1384">
        <v>41760</v>
      </c>
      <c r="C307" s="1385">
        <v>555.67899999999997</v>
      </c>
      <c r="D307" s="1385">
        <v>3942.55</v>
      </c>
      <c r="E307" s="1385">
        <v>1.0086587318278823</v>
      </c>
      <c r="F307" s="1385">
        <v>34.545222912013308</v>
      </c>
      <c r="K307" s="1465">
        <v>42364</v>
      </c>
      <c r="L307" s="1466"/>
      <c r="M307" s="1467">
        <v>0</v>
      </c>
      <c r="N307" s="1468">
        <v>1.110699096282848</v>
      </c>
      <c r="O307" s="1468">
        <v>1.110699096282848</v>
      </c>
    </row>
    <row r="308" spans="2:15">
      <c r="B308" s="1384">
        <v>41791</v>
      </c>
      <c r="C308" s="1385">
        <v>551.55399999999997</v>
      </c>
      <c r="D308" s="1385">
        <v>3958.32</v>
      </c>
      <c r="E308" s="1385">
        <v>1.0082447163000285</v>
      </c>
      <c r="F308" s="1385">
        <v>34.830038474444102</v>
      </c>
      <c r="K308" s="1465">
        <v>42365</v>
      </c>
      <c r="L308" s="1466"/>
      <c r="M308" s="1467">
        <v>0</v>
      </c>
      <c r="N308" s="1468">
        <v>1.110699096282848</v>
      </c>
      <c r="O308" s="1468">
        <v>1.110699096282848</v>
      </c>
    </row>
    <row r="309" spans="2:15">
      <c r="B309" s="1384">
        <v>41821</v>
      </c>
      <c r="C309" s="1385">
        <v>548.202</v>
      </c>
      <c r="D309" s="1385">
        <v>3958.72</v>
      </c>
      <c r="E309" s="1385">
        <v>1.0094872729749897</v>
      </c>
      <c r="F309" s="1385">
        <v>35.160480557180549</v>
      </c>
      <c r="K309" s="1465">
        <v>42366</v>
      </c>
      <c r="L309" s="1466" t="s">
        <v>2125</v>
      </c>
      <c r="M309" s="1467">
        <v>5.2531000000000001E-2</v>
      </c>
      <c r="N309" s="1468">
        <v>1.1112825576251164</v>
      </c>
      <c r="O309" s="1468">
        <v>1.1112825576251164</v>
      </c>
    </row>
    <row r="310" spans="2:15">
      <c r="B310" s="1384">
        <v>41852</v>
      </c>
      <c r="C310" s="1385">
        <v>546.745</v>
      </c>
      <c r="D310" s="1385">
        <v>3968.62</v>
      </c>
      <c r="E310" s="1385">
        <v>1.0086598207325679</v>
      </c>
      <c r="F310" s="1385">
        <v>35.464964015676671</v>
      </c>
      <c r="K310" s="1465">
        <v>42367</v>
      </c>
      <c r="L310" s="1466" t="s">
        <v>2125</v>
      </c>
      <c r="M310" s="1467">
        <v>5.2531000000000001E-2</v>
      </c>
      <c r="N310" s="1468">
        <v>1.1118663254654624</v>
      </c>
      <c r="O310" s="1468">
        <v>1.1118663254654624</v>
      </c>
    </row>
    <row r="311" spans="2:15">
      <c r="B311" s="1384">
        <v>41883</v>
      </c>
      <c r="C311" s="1385">
        <v>547.83900000000006</v>
      </c>
      <c r="D311" s="1385">
        <v>3991.24</v>
      </c>
      <c r="E311" s="1385">
        <v>1.0090729173629331</v>
      </c>
      <c r="F311" s="1385">
        <v>35.786734703470302</v>
      </c>
      <c r="K311" s="1465">
        <v>42368</v>
      </c>
      <c r="L311" s="1466" t="s">
        <v>2125</v>
      </c>
      <c r="M311" s="1467">
        <v>5.2531000000000001E-2</v>
      </c>
      <c r="N311" s="1468">
        <v>1.1124503999648927</v>
      </c>
      <c r="O311" s="1468">
        <v>1.1124503999648927</v>
      </c>
    </row>
    <row r="312" spans="2:15">
      <c r="B312" s="1384">
        <v>41913</v>
      </c>
      <c r="C312" s="1385">
        <v>549.39599999999996</v>
      </c>
      <c r="D312" s="1385">
        <v>4008</v>
      </c>
      <c r="E312" s="1385">
        <v>1.009505315279368</v>
      </c>
      <c r="F312" s="1385">
        <v>36.126898899645887</v>
      </c>
      <c r="K312" s="1465">
        <v>42369</v>
      </c>
      <c r="L312" s="1466" t="s">
        <v>2125</v>
      </c>
      <c r="M312" s="1467">
        <v>5.2531000000000001E-2</v>
      </c>
      <c r="N312" s="1468">
        <v>1.1130347812844983</v>
      </c>
      <c r="O312" s="1468">
        <v>1.1130347812844983</v>
      </c>
    </row>
    <row r="313" spans="2:15">
      <c r="B313" s="1384">
        <v>41944</v>
      </c>
      <c r="C313" s="1385">
        <v>554.76900000000001</v>
      </c>
      <c r="D313" s="1385">
        <v>4028.44</v>
      </c>
      <c r="E313" s="1385">
        <v>1.0084249317586502</v>
      </c>
      <c r="F313" s="1385">
        <v>36.431265557527063</v>
      </c>
      <c r="K313" s="1465">
        <v>42370</v>
      </c>
      <c r="L313" s="1466"/>
      <c r="M313" s="1467">
        <v>0</v>
      </c>
      <c r="N313" s="1468">
        <v>1.1130347812844983</v>
      </c>
      <c r="O313" s="1468">
        <v>1.1130347812844983</v>
      </c>
    </row>
    <row r="314" spans="2:15">
      <c r="B314" s="1384">
        <v>41974</v>
      </c>
      <c r="C314" s="1385">
        <v>558.21299999999997</v>
      </c>
      <c r="D314" s="1385">
        <v>4059.86</v>
      </c>
      <c r="E314" s="1385">
        <v>1.0096129495106978</v>
      </c>
      <c r="F314" s="1385">
        <v>36.781477473942395</v>
      </c>
      <c r="K314" s="1465">
        <v>42371</v>
      </c>
      <c r="L314" s="1466"/>
      <c r="M314" s="1467">
        <v>0</v>
      </c>
      <c r="N314" s="1468">
        <v>1.1130347812844983</v>
      </c>
      <c r="O314" s="1468">
        <v>1.1130347812844983</v>
      </c>
    </row>
    <row r="315" spans="2:15">
      <c r="B315" s="1384">
        <v>42005</v>
      </c>
      <c r="C315" s="1385">
        <v>562.48199999999997</v>
      </c>
      <c r="D315" s="1385">
        <v>4110.2</v>
      </c>
      <c r="E315" s="1385">
        <v>1.0093507541041149</v>
      </c>
      <c r="F315" s="1385">
        <v>37.12541202538727</v>
      </c>
      <c r="K315" s="1465">
        <v>42372</v>
      </c>
      <c r="L315" s="1466"/>
      <c r="M315" s="1467">
        <v>0</v>
      </c>
      <c r="N315" s="1468">
        <v>1.1130347812844983</v>
      </c>
      <c r="O315" s="1468">
        <v>1.1130347812844983</v>
      </c>
    </row>
    <row r="316" spans="2:15">
      <c r="B316" s="1384">
        <v>42036</v>
      </c>
      <c r="C316" s="1385">
        <v>564.00400000000002</v>
      </c>
      <c r="D316" s="1385">
        <v>4160.34</v>
      </c>
      <c r="E316" s="1385">
        <v>1.0082241099890967</v>
      </c>
      <c r="F316" s="1385">
        <v>37.43073549727459</v>
      </c>
      <c r="K316" s="1465">
        <v>42373</v>
      </c>
      <c r="L316" s="1466" t="s">
        <v>2125</v>
      </c>
      <c r="M316" s="1467">
        <v>5.2531000000000001E-2</v>
      </c>
      <c r="N316" s="1468">
        <v>1.1136194695854549</v>
      </c>
      <c r="O316" s="1468">
        <v>1.1136194695854549</v>
      </c>
    </row>
    <row r="317" spans="2:15">
      <c r="B317" s="1384">
        <v>42064</v>
      </c>
      <c r="C317" s="1385">
        <v>569.53599999999994</v>
      </c>
      <c r="D317" s="1385">
        <v>4215.26</v>
      </c>
      <c r="E317" s="1385">
        <v>1.0103996710699541</v>
      </c>
      <c r="F317" s="1385">
        <v>37.820002834352699</v>
      </c>
      <c r="K317" s="1465">
        <v>42374</v>
      </c>
      <c r="L317" s="1466" t="s">
        <v>2125</v>
      </c>
      <c r="M317" s="1467">
        <v>5.2531000000000001E-2</v>
      </c>
      <c r="N317" s="1468">
        <v>1.1142044650290228</v>
      </c>
      <c r="O317" s="1468">
        <v>1.1142044650290228</v>
      </c>
    </row>
    <row r="318" spans="2:15">
      <c r="B318" s="1384">
        <v>42095</v>
      </c>
      <c r="C318" s="1385">
        <v>576.17499999999995</v>
      </c>
      <c r="D318" s="1385">
        <v>4245.1899999999996</v>
      </c>
      <c r="E318" s="1385">
        <v>1.0095179160892187</v>
      </c>
      <c r="F318" s="1385">
        <v>38.179970447824083</v>
      </c>
      <c r="K318" s="1465">
        <v>42375</v>
      </c>
      <c r="L318" s="1466" t="s">
        <v>2125</v>
      </c>
      <c r="M318" s="1467">
        <v>5.2531000000000001E-2</v>
      </c>
      <c r="N318" s="1468">
        <v>1.1147897677765473</v>
      </c>
      <c r="O318" s="1468">
        <v>1.1147897677765473</v>
      </c>
    </row>
    <row r="319" spans="2:15">
      <c r="B319" s="1384">
        <v>42125</v>
      </c>
      <c r="C319" s="1385">
        <v>578.51599999999996</v>
      </c>
      <c r="D319" s="1385">
        <v>4276.6000000000004</v>
      </c>
      <c r="E319" s="1385">
        <v>1.0098532226245138</v>
      </c>
      <c r="F319" s="1385">
        <v>38.556166196443854</v>
      </c>
      <c r="K319" s="1465">
        <v>42376</v>
      </c>
      <c r="L319" s="1466" t="s">
        <v>2125</v>
      </c>
      <c r="M319" s="1467">
        <v>5.2531000000000001E-2</v>
      </c>
      <c r="N319" s="1468">
        <v>1.115375377989458</v>
      </c>
      <c r="O319" s="1468">
        <v>1.115375377989458</v>
      </c>
    </row>
    <row r="320" spans="2:15">
      <c r="B320" s="1384">
        <v>42156</v>
      </c>
      <c r="C320" s="1385">
        <v>582.40099999999995</v>
      </c>
      <c r="D320" s="1385">
        <v>4310.3900000000003</v>
      </c>
      <c r="E320" s="1385">
        <v>1.0106667572412273</v>
      </c>
      <c r="F320" s="1385">
        <v>38.967435461413736</v>
      </c>
      <c r="K320" s="1465">
        <v>42377</v>
      </c>
      <c r="L320" s="1466" t="s">
        <v>2125</v>
      </c>
      <c r="M320" s="1467">
        <v>5.2531000000000001E-2</v>
      </c>
      <c r="N320" s="1468">
        <v>1.1159612958292695</v>
      </c>
      <c r="O320" s="1468">
        <v>1.1159612958292695</v>
      </c>
    </row>
    <row r="321" spans="2:15">
      <c r="B321" s="1384">
        <v>42186</v>
      </c>
      <c r="C321" s="1385">
        <v>586.42600000000004</v>
      </c>
      <c r="D321" s="1385">
        <v>4337.1099999999997</v>
      </c>
      <c r="E321" s="1385">
        <v>1.0117819838421735</v>
      </c>
      <c r="F321" s="1385">
        <v>39.426549156391054</v>
      </c>
      <c r="K321" s="1465">
        <v>42378</v>
      </c>
      <c r="L321" s="1466"/>
      <c r="M321" s="1467">
        <v>0</v>
      </c>
      <c r="N321" s="1468">
        <v>1.1159612958292695</v>
      </c>
      <c r="O321" s="1468">
        <v>1.1159612958292695</v>
      </c>
    </row>
    <row r="322" spans="2:15">
      <c r="B322" s="1384">
        <v>42217</v>
      </c>
      <c r="C322" s="1385">
        <v>588.04200000000003</v>
      </c>
      <c r="D322" s="1385">
        <v>4346.6499999999996</v>
      </c>
      <c r="E322" s="1385">
        <v>1.0110896528780247</v>
      </c>
      <c r="F322" s="1385">
        <v>39.863775900713804</v>
      </c>
      <c r="K322" s="1465">
        <v>42379</v>
      </c>
      <c r="L322" s="1466"/>
      <c r="M322" s="1467">
        <v>0</v>
      </c>
      <c r="N322" s="1468">
        <v>1.1159612958292695</v>
      </c>
      <c r="O322" s="1468">
        <v>1.1159612958292695</v>
      </c>
    </row>
    <row r="323" spans="2:15">
      <c r="B323" s="1384">
        <v>42248</v>
      </c>
      <c r="C323" s="1385">
        <v>593.60599999999999</v>
      </c>
      <c r="D323" s="1385">
        <v>4370.12</v>
      </c>
      <c r="E323" s="1385">
        <v>1.0110896528780244</v>
      </c>
      <c r="F323" s="1385">
        <v>40.305851337860076</v>
      </c>
      <c r="K323" s="1465">
        <v>42380</v>
      </c>
      <c r="L323" s="1466" t="s">
        <v>2125</v>
      </c>
      <c r="M323" s="1467">
        <v>5.2531000000000001E-2</v>
      </c>
      <c r="N323" s="1468">
        <v>1.1165475214575815</v>
      </c>
      <c r="O323" s="1468">
        <v>1.1165475214575815</v>
      </c>
    </row>
    <row r="324" spans="2:15">
      <c r="B324" s="1384">
        <v>42278</v>
      </c>
      <c r="C324" s="1385">
        <v>604.83199999999999</v>
      </c>
      <c r="D324" s="1385">
        <v>4405.95</v>
      </c>
      <c r="E324" s="1385">
        <v>1.0110896528780242</v>
      </c>
      <c r="F324" s="1385">
        <v>40.752829238150191</v>
      </c>
      <c r="K324" s="1465">
        <v>42381</v>
      </c>
      <c r="L324" s="1466" t="s">
        <v>2125</v>
      </c>
      <c r="M324" s="1467">
        <v>5.2531000000000001E-2</v>
      </c>
      <c r="N324" s="1468">
        <v>1.1171340550360784</v>
      </c>
      <c r="O324" s="1468">
        <v>1.1171340550360784</v>
      </c>
    </row>
    <row r="325" spans="2:15">
      <c r="B325" s="1384">
        <v>42309</v>
      </c>
      <c r="C325" s="1385">
        <v>614.05100000000004</v>
      </c>
      <c r="D325" s="1385">
        <v>4450.45</v>
      </c>
      <c r="E325" s="1385">
        <v>1.0105587962367735</v>
      </c>
      <c r="F325" s="1385">
        <v>41.183130058147846</v>
      </c>
      <c r="K325" s="1465">
        <v>42382</v>
      </c>
      <c r="L325" s="1466" t="s">
        <v>2125</v>
      </c>
      <c r="M325" s="1467">
        <v>5.2531000000000001E-2</v>
      </c>
      <c r="N325" s="1468">
        <v>1.1177208967265295</v>
      </c>
      <c r="O325" s="1468">
        <v>1.1177208967265295</v>
      </c>
    </row>
    <row r="326" spans="2:15">
      <c r="B326" s="1384">
        <v>42339</v>
      </c>
      <c r="C326" s="1385">
        <v>617.04399999999998</v>
      </c>
      <c r="D326" s="1385">
        <v>4493.17</v>
      </c>
      <c r="E326" s="1385">
        <v>1.0116207883835777</v>
      </c>
      <c r="F326" s="1385">
        <v>41.66171049752694</v>
      </c>
      <c r="K326" s="1465">
        <v>42383</v>
      </c>
      <c r="L326" s="1466" t="s">
        <v>2125</v>
      </c>
      <c r="M326" s="1467">
        <v>5.2531000000000001E-2</v>
      </c>
      <c r="N326" s="1468">
        <v>1.1183080466907889</v>
      </c>
      <c r="O326" s="1468">
        <v>1.1183080466907889</v>
      </c>
    </row>
    <row r="327" spans="2:15">
      <c r="B327" s="1384">
        <v>42370</v>
      </c>
      <c r="C327" s="1385">
        <v>624.05999999999995</v>
      </c>
      <c r="D327" s="1385">
        <v>4550.2299999999996</v>
      </c>
      <c r="E327" s="1385">
        <v>1.0105587962367735</v>
      </c>
      <c r="F327" s="1385">
        <v>42.101608009545771</v>
      </c>
      <c r="K327" s="1465">
        <v>42384</v>
      </c>
      <c r="L327" s="1466" t="s">
        <v>2125</v>
      </c>
      <c r="M327" s="1467">
        <v>5.2531000000000001E-2</v>
      </c>
      <c r="N327" s="1468">
        <v>1.118895505090796</v>
      </c>
      <c r="O327" s="1468">
        <v>1.118895505090796</v>
      </c>
    </row>
    <row r="328" spans="2:15">
      <c r="B328" s="1384">
        <v>42401</v>
      </c>
      <c r="C328" s="1385">
        <v>632.11400000000003</v>
      </c>
      <c r="D328" s="1385">
        <v>4591.18</v>
      </c>
      <c r="E328" s="1385">
        <v>1.0100282183134115</v>
      </c>
      <c r="F328" s="1385">
        <v>42.523812126011173</v>
      </c>
      <c r="K328" s="1465">
        <v>42385</v>
      </c>
      <c r="L328" s="1466"/>
      <c r="M328" s="1467">
        <v>0</v>
      </c>
      <c r="N328" s="1468">
        <v>1.118895505090796</v>
      </c>
      <c r="O328" s="1468">
        <v>1.118895505090796</v>
      </c>
    </row>
    <row r="329" spans="2:15">
      <c r="B329" s="1384">
        <v>42430</v>
      </c>
      <c r="C329" s="1385">
        <v>635.34900000000005</v>
      </c>
      <c r="D329" s="1385">
        <v>4610.92</v>
      </c>
      <c r="E329" s="1385">
        <v>1.0116207883835779</v>
      </c>
      <c r="F329" s="1385">
        <v>43.017972347990572</v>
      </c>
      <c r="K329" s="1465">
        <v>42386</v>
      </c>
      <c r="L329" s="1466"/>
      <c r="M329" s="1467">
        <v>0</v>
      </c>
      <c r="N329" s="1468">
        <v>1.118895505090796</v>
      </c>
      <c r="O329" s="1468">
        <v>1.118895505090796</v>
      </c>
    </row>
    <row r="330" spans="2:15">
      <c r="B330" s="1384">
        <v>42461</v>
      </c>
      <c r="C330" s="1385">
        <v>637.43399999999997</v>
      </c>
      <c r="D330" s="1385">
        <v>4639.05</v>
      </c>
      <c r="E330" s="1385">
        <v>1.0105587962367735</v>
      </c>
      <c r="F330" s="1385">
        <v>43.472190352532159</v>
      </c>
      <c r="K330" s="1465">
        <v>42387</v>
      </c>
      <c r="L330" s="1466" t="s">
        <v>2125</v>
      </c>
      <c r="M330" s="1467">
        <v>5.2531000000000001E-2</v>
      </c>
      <c r="N330" s="1468">
        <v>1.1194832720885752</v>
      </c>
      <c r="O330" s="1468">
        <v>1.1194832720885752</v>
      </c>
    </row>
    <row r="331" spans="2:15">
      <c r="B331" s="1384">
        <v>42491</v>
      </c>
      <c r="C331" s="1385">
        <v>642.65099999999995</v>
      </c>
      <c r="D331" s="1385">
        <v>4675.2299999999996</v>
      </c>
      <c r="E331" s="1385">
        <v>1.0110896528780244</v>
      </c>
      <c r="F331" s="1385">
        <v>43.954281853389141</v>
      </c>
      <c r="K331" s="1465">
        <v>42388</v>
      </c>
      <c r="L331" s="1466" t="s">
        <v>2125</v>
      </c>
      <c r="M331" s="1467">
        <v>5.2531000000000001E-2</v>
      </c>
      <c r="N331" s="1468">
        <v>1.1200713478462361</v>
      </c>
      <c r="O331" s="1468">
        <v>1.1200713478462361</v>
      </c>
    </row>
    <row r="332" spans="2:15">
      <c r="B332" s="1384">
        <v>42522</v>
      </c>
      <c r="C332" s="1385">
        <v>653.49599999999998</v>
      </c>
      <c r="D332" s="1385">
        <v>4691.59</v>
      </c>
      <c r="E332" s="1385">
        <v>1.0116207883835777</v>
      </c>
      <c r="F332" s="1385">
        <v>44.465065261359506</v>
      </c>
      <c r="K332" s="1465">
        <v>42389</v>
      </c>
      <c r="L332" s="1466" t="s">
        <v>2125</v>
      </c>
      <c r="M332" s="1467">
        <v>5.2531000000000001E-2</v>
      </c>
      <c r="N332" s="1468">
        <v>1.1206597325259733</v>
      </c>
      <c r="O332" s="1468">
        <v>1.1206597325259733</v>
      </c>
    </row>
    <row r="333" spans="2:15">
      <c r="B333" s="1384">
        <v>42552</v>
      </c>
      <c r="C333" s="1385">
        <v>654.64099999999996</v>
      </c>
      <c r="D333" s="1385">
        <v>4715.99</v>
      </c>
      <c r="E333" s="1385">
        <v>1.0110896528780242</v>
      </c>
      <c r="F333" s="1385">
        <v>44.958167400306678</v>
      </c>
      <c r="K333" s="1465">
        <v>42390</v>
      </c>
      <c r="L333" s="1466" t="s">
        <v>2125</v>
      </c>
      <c r="M333" s="1467">
        <v>5.2531000000000001E-2</v>
      </c>
      <c r="N333" s="1468">
        <v>1.1212484262900666</v>
      </c>
      <c r="O333" s="1468">
        <v>1.1212484262900666</v>
      </c>
    </row>
    <row r="334" spans="2:15">
      <c r="B334" s="1384">
        <v>42583</v>
      </c>
      <c r="C334" s="1385">
        <v>655.60199999999998</v>
      </c>
      <c r="D334" s="1385">
        <v>4736.74</v>
      </c>
      <c r="E334" s="1385">
        <v>1.0121522028999232</v>
      </c>
      <c r="F334" s="1385">
        <v>45.504508172563916</v>
      </c>
      <c r="K334" s="1465">
        <v>42391</v>
      </c>
      <c r="L334" s="1466" t="s">
        <v>2125</v>
      </c>
      <c r="M334" s="1467">
        <v>5.2531000000000001E-2</v>
      </c>
      <c r="N334" s="1468">
        <v>1.121837429300881</v>
      </c>
      <c r="O334" s="1468">
        <v>1.121837429300881</v>
      </c>
    </row>
    <row r="335" spans="2:15">
      <c r="B335" s="1384">
        <v>42614</v>
      </c>
      <c r="C335" s="1385">
        <v>656.89400000000001</v>
      </c>
      <c r="D335" s="1385">
        <v>4740.53</v>
      </c>
      <c r="E335" s="1385">
        <v>1.0110896528780247</v>
      </c>
      <c r="F335" s="1385">
        <v>46.009137372582884</v>
      </c>
      <c r="K335" s="1465">
        <v>42392</v>
      </c>
      <c r="L335" s="1466"/>
      <c r="M335" s="1467">
        <v>0</v>
      </c>
      <c r="N335" s="1468">
        <v>1.121837429300881</v>
      </c>
      <c r="O335" s="1468">
        <v>1.121837429300881</v>
      </c>
    </row>
    <row r="336" spans="2:15">
      <c r="B336" s="1384">
        <v>42644</v>
      </c>
      <c r="C336" s="1385">
        <v>657.92700000000002</v>
      </c>
      <c r="D336" s="1385">
        <v>4752.8599999999997</v>
      </c>
      <c r="E336" s="1385">
        <v>1.0104884196148551</v>
      </c>
      <c r="F336" s="1385">
        <v>46.491700511464046</v>
      </c>
      <c r="K336" s="1465">
        <v>42393</v>
      </c>
      <c r="L336" s="1466"/>
      <c r="M336" s="1467">
        <v>0</v>
      </c>
      <c r="N336" s="1468">
        <v>1.121837429300881</v>
      </c>
      <c r="O336" s="1468">
        <v>1.121837429300881</v>
      </c>
    </row>
    <row r="337" spans="2:15">
      <c r="B337" s="1384">
        <v>42675</v>
      </c>
      <c r="C337" s="1385">
        <v>657.75199999999995</v>
      </c>
      <c r="D337" s="1385">
        <v>4761.42</v>
      </c>
      <c r="E337" s="1385">
        <v>1.0103828638714687</v>
      </c>
      <c r="F337" s="1385">
        <v>46.974417509027667</v>
      </c>
      <c r="K337" s="1465">
        <v>42394</v>
      </c>
      <c r="L337" s="1466" t="s">
        <v>2125</v>
      </c>
      <c r="M337" s="1467">
        <v>5.2531000000000001E-2</v>
      </c>
      <c r="N337" s="1468">
        <v>1.1224267417208671</v>
      </c>
      <c r="O337" s="1468">
        <v>1.1224267417208671</v>
      </c>
    </row>
    <row r="338" spans="2:15">
      <c r="B338" s="1384">
        <v>42705</v>
      </c>
      <c r="C338" s="1385">
        <v>661.30399999999997</v>
      </c>
      <c r="D338" s="1385">
        <v>4775.7</v>
      </c>
      <c r="E338" s="1385">
        <v>1.0112331468569866</v>
      </c>
      <c r="F338" s="1385">
        <v>47.502088039427981</v>
      </c>
      <c r="K338" s="1465">
        <v>42395</v>
      </c>
      <c r="L338" s="1466" t="s">
        <v>2125</v>
      </c>
      <c r="M338" s="1467">
        <v>5.2531000000000001E-2</v>
      </c>
      <c r="N338" s="1468">
        <v>1.1230163637125605</v>
      </c>
      <c r="O338" s="1468">
        <v>1.1230163637125605</v>
      </c>
    </row>
    <row r="339" spans="2:15">
      <c r="B339" s="1384">
        <v>42736</v>
      </c>
      <c r="C339" s="1385">
        <v>665.54200000000003</v>
      </c>
      <c r="D339" s="1385">
        <v>4793.8500000000004</v>
      </c>
      <c r="E339" s="1385">
        <v>1.0108612048503447</v>
      </c>
      <c r="F339" s="1385">
        <v>48.018017948443315</v>
      </c>
      <c r="K339" s="1465">
        <v>42396</v>
      </c>
      <c r="L339" s="1466" t="s">
        <v>2125</v>
      </c>
      <c r="M339" s="1467">
        <v>5.2531000000000001E-2</v>
      </c>
      <c r="N339" s="1468">
        <v>1.1236062954385824</v>
      </c>
      <c r="O339" s="1468">
        <v>1.1236062954385824</v>
      </c>
    </row>
    <row r="340" spans="2:15">
      <c r="B340" s="1384">
        <v>42767</v>
      </c>
      <c r="C340" s="1385">
        <v>666.09900000000005</v>
      </c>
      <c r="D340" s="1385">
        <v>4809.67</v>
      </c>
      <c r="E340" s="1385">
        <v>1.0086508422083289</v>
      </c>
      <c r="F340" s="1385">
        <v>48.433414244872004</v>
      </c>
      <c r="K340" s="1465">
        <v>42397</v>
      </c>
      <c r="L340" s="1466" t="s">
        <v>2125</v>
      </c>
      <c r="M340" s="1467">
        <v>5.2531000000000001E-2</v>
      </c>
      <c r="N340" s="1468">
        <v>1.1241965370616391</v>
      </c>
      <c r="O340" s="1468">
        <v>1.1241965370616391</v>
      </c>
    </row>
    <row r="341" spans="2:15">
      <c r="B341" s="1384">
        <v>42795</v>
      </c>
      <c r="C341" s="1385">
        <v>666.197</v>
      </c>
      <c r="D341" s="1385">
        <v>4821.6899999999996</v>
      </c>
      <c r="E341" s="1385">
        <v>1.0105205646045978</v>
      </c>
      <c r="F341" s="1385">
        <v>48.94296110845643</v>
      </c>
      <c r="K341" s="1465">
        <v>42398</v>
      </c>
      <c r="L341" s="1466" t="s">
        <v>2125</v>
      </c>
      <c r="M341" s="1467">
        <v>5.2531000000000001E-2</v>
      </c>
      <c r="N341" s="1468">
        <v>1.124787088744523</v>
      </c>
      <c r="O341" s="1468">
        <v>1.124787088744523</v>
      </c>
    </row>
    <row r="342" spans="2:15">
      <c r="B342" s="1384">
        <v>42826</v>
      </c>
      <c r="C342" s="1385">
        <v>658.89800000000002</v>
      </c>
      <c r="D342" s="1385">
        <v>4828.4399999999996</v>
      </c>
      <c r="E342" s="1385">
        <v>1.0078658059100756</v>
      </c>
      <c r="F342" s="1385">
        <v>49.327936941199923</v>
      </c>
      <c r="K342" s="1465">
        <v>42399</v>
      </c>
      <c r="L342" s="1466"/>
      <c r="M342" s="1467">
        <v>0</v>
      </c>
      <c r="N342" s="1468">
        <v>1.124787088744523</v>
      </c>
      <c r="O342" s="1468">
        <v>1.124787088744523</v>
      </c>
    </row>
    <row r="343" spans="2:15">
      <c r="B343" s="1384">
        <v>42856</v>
      </c>
      <c r="C343" s="1385">
        <v>652.75800000000004</v>
      </c>
      <c r="D343" s="1385">
        <v>4843.41</v>
      </c>
      <c r="E343" s="1385">
        <v>1.0092713189779878</v>
      </c>
      <c r="F343" s="1385">
        <v>49.785271979107854</v>
      </c>
      <c r="K343" s="1465">
        <v>42400</v>
      </c>
      <c r="L343" s="1466"/>
      <c r="M343" s="1467">
        <v>0</v>
      </c>
      <c r="N343" s="1468">
        <v>1.124787088744523</v>
      </c>
      <c r="O343" s="1468">
        <v>1.124787088744523</v>
      </c>
    </row>
    <row r="344" spans="2:15">
      <c r="B344" s="1384">
        <v>42887</v>
      </c>
      <c r="C344" s="1385">
        <v>648.40899999999999</v>
      </c>
      <c r="D344" s="1385">
        <v>4832.2700000000004</v>
      </c>
      <c r="E344" s="1385">
        <v>1.0080886926571575</v>
      </c>
      <c r="F344" s="1385">
        <v>50.187969742999854</v>
      </c>
      <c r="K344" s="1465">
        <v>42401</v>
      </c>
      <c r="L344" s="1466" t="s">
        <v>2125</v>
      </c>
      <c r="M344" s="1467">
        <v>5.2531000000000001E-2</v>
      </c>
      <c r="N344" s="1468">
        <v>1.1253779506501114</v>
      </c>
      <c r="O344" s="1468">
        <v>1.1253779506501114</v>
      </c>
    </row>
    <row r="345" spans="2:15">
      <c r="B345" s="1384">
        <v>42917</v>
      </c>
      <c r="C345" s="1385">
        <v>643.76599999999996</v>
      </c>
      <c r="D345" s="1385">
        <v>4843.87</v>
      </c>
      <c r="E345" s="1385">
        <v>1.0079792299470567</v>
      </c>
      <c r="F345" s="1385">
        <v>50.588431094155176</v>
      </c>
      <c r="K345" s="1465">
        <v>42402</v>
      </c>
      <c r="L345" s="1466" t="s">
        <v>2125</v>
      </c>
      <c r="M345" s="1467">
        <v>5.2531000000000001E-2</v>
      </c>
      <c r="N345" s="1468">
        <v>1.1259691229413673</v>
      </c>
      <c r="O345" s="1468">
        <v>1.1259691229413673</v>
      </c>
    </row>
    <row r="346" spans="2:15">
      <c r="B346" s="1384">
        <v>42948</v>
      </c>
      <c r="C346" s="1385">
        <v>644.38300000000004</v>
      </c>
      <c r="D346" s="1385">
        <v>4853.07</v>
      </c>
      <c r="E346" s="1385">
        <v>1.0080228940119034</v>
      </c>
      <c r="F346" s="1385">
        <v>50.994296715052059</v>
      </c>
      <c r="K346" s="1465">
        <v>42403</v>
      </c>
      <c r="L346" s="1466" t="s">
        <v>2125</v>
      </c>
      <c r="M346" s="1467">
        <v>5.2531000000000001E-2</v>
      </c>
      <c r="N346" s="1468">
        <v>1.1265606057813395</v>
      </c>
      <c r="O346" s="1468">
        <v>1.1265606057813395</v>
      </c>
    </row>
    <row r="347" spans="2:15">
      <c r="B347" s="1384">
        <v>42979</v>
      </c>
      <c r="C347" s="1385">
        <v>647.4</v>
      </c>
      <c r="D347" s="1385">
        <v>4860.83</v>
      </c>
      <c r="E347" s="1385">
        <v>1.0063846003708505</v>
      </c>
      <c r="F347" s="1385">
        <v>51.319874920770239</v>
      </c>
      <c r="K347" s="1465">
        <v>42404</v>
      </c>
      <c r="L347" s="1466" t="s">
        <v>2125</v>
      </c>
      <c r="M347" s="1467">
        <v>5.2531000000000001E-2</v>
      </c>
      <c r="N347" s="1468">
        <v>1.1271523993331625</v>
      </c>
      <c r="O347" s="1468">
        <v>1.1271523993331625</v>
      </c>
    </row>
    <row r="348" spans="2:15">
      <c r="B348" s="1384">
        <v>43009</v>
      </c>
      <c r="C348" s="1385">
        <v>648.67200000000003</v>
      </c>
      <c r="D348" s="1385">
        <v>4881.25</v>
      </c>
      <c r="E348" s="1385">
        <v>1.0064393014601032</v>
      </c>
      <c r="F348" s="1385">
        <v>51.650339066279869</v>
      </c>
      <c r="K348" s="1465">
        <v>42405</v>
      </c>
      <c r="L348" s="1466" t="s">
        <v>2125</v>
      </c>
      <c r="M348" s="1467">
        <v>5.2531000000000001E-2</v>
      </c>
      <c r="N348" s="1468">
        <v>1.1277445037600562</v>
      </c>
      <c r="O348" s="1468">
        <v>1.1277445037600562</v>
      </c>
    </row>
    <row r="349" spans="2:15">
      <c r="B349" s="1384">
        <v>43040</v>
      </c>
      <c r="C349" s="1385">
        <v>652.07299999999998</v>
      </c>
      <c r="D349" s="1385">
        <v>4894.92</v>
      </c>
      <c r="E349" s="1385">
        <v>1.0056818783789492</v>
      </c>
      <c r="F349" s="1385">
        <v>51.943810011085958</v>
      </c>
      <c r="K349" s="1465">
        <v>42406</v>
      </c>
      <c r="L349" s="1466"/>
      <c r="M349" s="1467">
        <v>0</v>
      </c>
      <c r="N349" s="1468">
        <v>1.1277445037600562</v>
      </c>
      <c r="O349" s="1468">
        <v>1.1277445037600562</v>
      </c>
    </row>
    <row r="350" spans="2:15">
      <c r="B350" s="1384">
        <v>43070</v>
      </c>
      <c r="C350" s="1385">
        <v>657.85900000000004</v>
      </c>
      <c r="D350" s="1385">
        <v>4916.46</v>
      </c>
      <c r="E350" s="1385">
        <v>1.0053840004998948</v>
      </c>
      <c r="F350" s="1385">
        <v>52.223475510152085</v>
      </c>
      <c r="K350" s="1465">
        <v>42407</v>
      </c>
      <c r="L350" s="1466"/>
      <c r="M350" s="1467">
        <v>0</v>
      </c>
      <c r="N350" s="1468">
        <v>1.1277445037600562</v>
      </c>
      <c r="O350" s="1468">
        <v>1.1277445037600562</v>
      </c>
    </row>
    <row r="351" spans="2:15">
      <c r="B351" s="1384">
        <v>43101</v>
      </c>
      <c r="C351" s="1385">
        <v>662.82600000000002</v>
      </c>
      <c r="D351" s="1385">
        <v>4930.72</v>
      </c>
      <c r="E351" s="1385">
        <v>1.0058420473548675</v>
      </c>
      <c r="F351" s="1385">
        <v>52.528567527118156</v>
      </c>
      <c r="K351" s="1465">
        <v>42408</v>
      </c>
      <c r="L351" s="1466"/>
      <c r="M351" s="1467">
        <v>0</v>
      </c>
      <c r="N351" s="1468">
        <v>1.1277445037600562</v>
      </c>
      <c r="O351" s="1468">
        <v>1.1277445037600562</v>
      </c>
    </row>
    <row r="352" spans="2:15">
      <c r="B352" s="1384">
        <v>43132</v>
      </c>
      <c r="C352" s="1385">
        <v>663.31100000000004</v>
      </c>
      <c r="D352" s="1385">
        <v>4946.5</v>
      </c>
      <c r="E352" s="1385">
        <v>1.0046560161193037</v>
      </c>
      <c r="F352" s="1385">
        <v>52.773141384248348</v>
      </c>
      <c r="K352" s="1465">
        <v>42409</v>
      </c>
      <c r="L352" s="1466"/>
      <c r="M352" s="1467">
        <v>0</v>
      </c>
      <c r="N352" s="1468">
        <v>1.1277445037600562</v>
      </c>
      <c r="O352" s="1468">
        <v>1.1277445037600562</v>
      </c>
    </row>
    <row r="353" spans="2:15">
      <c r="B353" s="1384">
        <v>43160</v>
      </c>
      <c r="C353" s="1385">
        <v>667.524</v>
      </c>
      <c r="D353" s="1385">
        <v>4950.95</v>
      </c>
      <c r="E353" s="1385">
        <v>1.0053234480536677</v>
      </c>
      <c r="F353" s="1385">
        <v>53.054076461036253</v>
      </c>
      <c r="K353" s="1465">
        <v>42410</v>
      </c>
      <c r="L353" s="1466" t="s">
        <v>2125</v>
      </c>
      <c r="M353" s="1467">
        <v>5.2531000000000001E-2</v>
      </c>
      <c r="N353" s="1468">
        <v>1.1283369192253263</v>
      </c>
      <c r="O353" s="1468">
        <v>1.1283369192253263</v>
      </c>
    </row>
    <row r="354" spans="2:15">
      <c r="B354" s="1384">
        <v>43191</v>
      </c>
      <c r="C354" s="1385">
        <v>671.327</v>
      </c>
      <c r="D354" s="1385">
        <v>4961.84</v>
      </c>
      <c r="E354" s="1385">
        <v>1.0051829489023658</v>
      </c>
      <c r="F354" s="1385">
        <v>53.329053028396011</v>
      </c>
      <c r="K354" s="1465">
        <v>42411</v>
      </c>
      <c r="L354" s="1466" t="s">
        <v>2125</v>
      </c>
      <c r="M354" s="1467">
        <v>5.2531000000000001E-2</v>
      </c>
      <c r="N354" s="1468">
        <v>1.1289296458923646</v>
      </c>
      <c r="O354" s="1468">
        <v>1.1289296458923646</v>
      </c>
    </row>
    <row r="355" spans="2:15">
      <c r="B355" s="1384">
        <v>43221</v>
      </c>
      <c r="C355" s="1385">
        <v>680.57899999999995</v>
      </c>
      <c r="D355" s="1385">
        <v>4981.6899999999996</v>
      </c>
      <c r="E355" s="1385">
        <v>1.0051829489023656</v>
      </c>
      <c r="F355" s="1385">
        <v>53.605454785253734</v>
      </c>
      <c r="G355" s="491"/>
      <c r="K355" s="1465">
        <v>42412</v>
      </c>
      <c r="L355" s="1466" t="s">
        <v>2125</v>
      </c>
      <c r="M355" s="1467">
        <v>5.2531000000000001E-2</v>
      </c>
      <c r="N355" s="1468">
        <v>1.1295226839246482</v>
      </c>
      <c r="O355" s="1468">
        <v>1.1295226839246482</v>
      </c>
    </row>
    <row r="356" spans="2:15">
      <c r="B356" s="1384">
        <v>43252</v>
      </c>
      <c r="C356" s="1385">
        <v>693.28700000000003</v>
      </c>
      <c r="D356" s="1385">
        <v>5044.46</v>
      </c>
      <c r="E356" s="1385">
        <v>1.0051829489023654</v>
      </c>
      <c r="F356" s="1385">
        <v>53.88328911829376</v>
      </c>
      <c r="G356" s="10"/>
      <c r="I356" s="10"/>
      <c r="K356" s="1465">
        <v>42413</v>
      </c>
      <c r="L356" s="1466"/>
      <c r="M356" s="1467">
        <v>0</v>
      </c>
      <c r="N356" s="1468">
        <v>1.1295226839246482</v>
      </c>
      <c r="O356" s="1468">
        <v>1.1295226839246482</v>
      </c>
    </row>
    <row r="357" spans="2:15">
      <c r="B357" s="1384">
        <v>43282</v>
      </c>
      <c r="C357" s="1385">
        <v>696.8</v>
      </c>
      <c r="D357" s="1385">
        <v>5061.1099999999997</v>
      </c>
      <c r="E357" s="1385">
        <v>1.0054304249443857</v>
      </c>
      <c r="F357" s="1385">
        <v>54.175898275607288</v>
      </c>
      <c r="G357" s="10"/>
      <c r="K357" s="1465">
        <v>42414</v>
      </c>
      <c r="L357" s="1466"/>
      <c r="M357" s="1467">
        <v>0</v>
      </c>
      <c r="N357" s="1468">
        <v>1.1295226839246482</v>
      </c>
      <c r="O357" s="1468">
        <v>1.1295226839246482</v>
      </c>
    </row>
    <row r="358" spans="2:15">
      <c r="B358" s="1384">
        <v>43313</v>
      </c>
      <c r="C358" s="1385">
        <v>701.67700000000002</v>
      </c>
      <c r="D358" s="1385">
        <v>5056.5600000000004</v>
      </c>
      <c r="E358" s="1385">
        <v>1.0056779619150069</v>
      </c>
      <c r="F358" s="1385">
        <v>54.483506962727475</v>
      </c>
      <c r="K358" s="1465">
        <v>42415</v>
      </c>
      <c r="L358" s="1466" t="s">
        <v>2125</v>
      </c>
      <c r="M358" s="1467">
        <v>5.2531000000000001E-2</v>
      </c>
      <c r="N358" s="1468">
        <v>1.1301160334857405</v>
      </c>
      <c r="O358" s="1468">
        <v>1.1301160334857405</v>
      </c>
    </row>
    <row r="359" spans="2:15">
      <c r="B359" s="1384">
        <v>43344</v>
      </c>
      <c r="C359" s="1385">
        <v>712.37300000000005</v>
      </c>
      <c r="D359" s="1385">
        <v>5080.83</v>
      </c>
      <c r="E359" s="1385">
        <v>1.0046881795441467</v>
      </c>
      <c r="F359" s="1385">
        <v>54.738935425563504</v>
      </c>
      <c r="K359" s="1465">
        <v>42416</v>
      </c>
      <c r="L359" s="1466" t="s">
        <v>2125</v>
      </c>
      <c r="M359" s="1467">
        <v>5.2531000000000001E-2</v>
      </c>
      <c r="N359" s="1468">
        <v>1.1307096947392909</v>
      </c>
      <c r="O359" s="1468">
        <v>1.1307096947392909</v>
      </c>
    </row>
    <row r="360" spans="2:15">
      <c r="B360" s="1384">
        <v>43374</v>
      </c>
      <c r="C360" s="1385">
        <v>718.68399999999997</v>
      </c>
      <c r="D360" s="1385">
        <v>5103.6899999999996</v>
      </c>
      <c r="E360" s="1385">
        <v>1.0054304249443855</v>
      </c>
      <c r="F360" s="1385">
        <v>55.036191105927593</v>
      </c>
      <c r="K360" s="1465">
        <v>42417</v>
      </c>
      <c r="L360" s="1466" t="s">
        <v>2125</v>
      </c>
      <c r="M360" s="1467">
        <v>5.2531000000000001E-2</v>
      </c>
      <c r="N360" s="1468">
        <v>1.1313036678490345</v>
      </c>
      <c r="O360" s="1468">
        <v>1.1313036678490345</v>
      </c>
    </row>
    <row r="361" spans="2:15">
      <c r="B361" s="1384">
        <v>43405</v>
      </c>
      <c r="C361" s="1385">
        <v>715.16600000000005</v>
      </c>
      <c r="D361" s="1385">
        <v>5092.97</v>
      </c>
      <c r="E361" s="1385">
        <v>1.0049355337739507</v>
      </c>
      <c r="F361" s="1385">
        <v>55.307824085920508</v>
      </c>
      <c r="K361" s="1465">
        <v>42418</v>
      </c>
      <c r="L361" s="1466" t="s">
        <v>2125</v>
      </c>
      <c r="M361" s="1467">
        <v>5.2531000000000001E-2</v>
      </c>
      <c r="N361" s="1468">
        <v>1.1318979529787923</v>
      </c>
      <c r="O361" s="1468">
        <v>1.1318979529787923</v>
      </c>
    </row>
    <row r="362" spans="2:15">
      <c r="B362" s="1384">
        <v>43435</v>
      </c>
      <c r="C362" s="1385">
        <v>707.44100000000003</v>
      </c>
      <c r="D362" s="1385">
        <v>5100.6099999999997</v>
      </c>
      <c r="E362" s="1385">
        <v>1.0049355337739507</v>
      </c>
      <c r="F362" s="1385">
        <v>55.580797719660296</v>
      </c>
      <c r="K362" s="1465">
        <v>42419</v>
      </c>
      <c r="L362" s="1466" t="s">
        <v>2125</v>
      </c>
      <c r="M362" s="1467">
        <v>5.2531000000000001E-2</v>
      </c>
      <c r="N362" s="1468">
        <v>1.1324925502924716</v>
      </c>
      <c r="O362" s="1468">
        <v>1.1324925502924716</v>
      </c>
    </row>
    <row r="363" spans="2:15">
      <c r="B363" s="1384">
        <v>43466</v>
      </c>
      <c r="C363" s="1385">
        <v>707.48800000000006</v>
      </c>
      <c r="D363" s="1385">
        <v>5116.93</v>
      </c>
      <c r="E363" s="1385">
        <v>1.0054304249443855</v>
      </c>
      <c r="F363" s="1385">
        <v>55.882625070025988</v>
      </c>
      <c r="K363" s="1465">
        <v>42420</v>
      </c>
      <c r="L363" s="1466"/>
      <c r="M363" s="1467">
        <v>0</v>
      </c>
      <c r="N363" s="1468">
        <v>1.1324925502924716</v>
      </c>
      <c r="O363" s="1468">
        <v>1.1324925502924716</v>
      </c>
    </row>
    <row r="364" spans="2:15">
      <c r="B364" s="1384">
        <v>43497</v>
      </c>
      <c r="C364" s="1385">
        <v>713.74699999999996</v>
      </c>
      <c r="D364" s="1385">
        <v>5138.93</v>
      </c>
      <c r="E364" s="1385">
        <v>1.0049355337739507</v>
      </c>
      <c r="F364" s="1385">
        <v>56.158435653436129</v>
      </c>
      <c r="K364" s="1465">
        <v>42421</v>
      </c>
      <c r="L364" s="1466"/>
      <c r="M364" s="1467">
        <v>0</v>
      </c>
      <c r="N364" s="1468">
        <v>1.1324925502924716</v>
      </c>
      <c r="O364" s="1468">
        <v>1.1324925502924716</v>
      </c>
    </row>
    <row r="365" spans="2:15">
      <c r="B365" s="1384">
        <v>43525</v>
      </c>
      <c r="C365" s="1385">
        <v>722.70699999999999</v>
      </c>
      <c r="D365" s="1385">
        <v>5177.47</v>
      </c>
      <c r="E365" s="1385">
        <v>1.0046881795441467</v>
      </c>
      <c r="F365" s="1385">
        <v>56.421716482697846</v>
      </c>
      <c r="K365" s="1465">
        <v>42422</v>
      </c>
      <c r="L365" s="1466" t="s">
        <v>2125</v>
      </c>
      <c r="M365" s="1467">
        <v>5.2531000000000001E-2</v>
      </c>
      <c r="N365" s="1468">
        <v>1.1330874599540657</v>
      </c>
      <c r="O365" s="1468">
        <v>1.1330874599540657</v>
      </c>
    </row>
    <row r="366" spans="2:15">
      <c r="B366" s="1384">
        <v>43556</v>
      </c>
      <c r="C366" s="1385">
        <v>729.346</v>
      </c>
      <c r="D366" s="1385">
        <v>5206.9799999999996</v>
      </c>
      <c r="E366" s="1385">
        <v>1.0051829489023654</v>
      </c>
      <c r="F366" s="1385">
        <v>56.714147356211413</v>
      </c>
      <c r="K366" s="1465">
        <v>42423</v>
      </c>
      <c r="L366" s="1466" t="s">
        <v>2125</v>
      </c>
      <c r="M366" s="1467">
        <v>5.2531000000000001E-2</v>
      </c>
      <c r="N366" s="1468">
        <v>1.1336826821276542</v>
      </c>
      <c r="O366" s="1468">
        <v>1.1336826821276542</v>
      </c>
    </row>
    <row r="367" spans="2:15">
      <c r="B367" s="1384">
        <v>43586</v>
      </c>
      <c r="C367" s="1385">
        <v>732.59500000000003</v>
      </c>
      <c r="D367" s="1385">
        <v>5213.75</v>
      </c>
      <c r="E367" s="1385">
        <v>1.0054304249443855</v>
      </c>
      <c r="F367" s="1385">
        <v>57.022129276714139</v>
      </c>
      <c r="K367" s="1465">
        <v>42424</v>
      </c>
      <c r="L367" s="1466" t="s">
        <v>2125</v>
      </c>
      <c r="M367" s="1467">
        <v>5.2531000000000001E-2</v>
      </c>
      <c r="N367" s="1468">
        <v>1.1342782169774026</v>
      </c>
      <c r="O367" s="1468">
        <v>1.1342782169774026</v>
      </c>
    </row>
    <row r="368" spans="2:15">
      <c r="B368" s="1384">
        <v>43617</v>
      </c>
      <c r="C368" s="1385">
        <v>738.42100000000005</v>
      </c>
      <c r="D368" s="1385">
        <v>5214.2700000000004</v>
      </c>
      <c r="E368" s="1385">
        <v>1.0046881795441465</v>
      </c>
      <c r="F368" s="1385">
        <v>57.289459256752906</v>
      </c>
      <c r="K368" s="1465">
        <v>42425</v>
      </c>
      <c r="L368" s="1466" t="s">
        <v>2125</v>
      </c>
      <c r="M368" s="1467">
        <v>5.2531000000000001E-2</v>
      </c>
      <c r="N368" s="1468">
        <v>1.134874064667563</v>
      </c>
      <c r="O368" s="1468">
        <v>1.134874064667563</v>
      </c>
    </row>
    <row r="369" spans="2:15">
      <c r="B369" s="1384">
        <v>43647</v>
      </c>
      <c r="C369" s="1385">
        <v>741.346</v>
      </c>
      <c r="D369" s="1385">
        <v>5224.18</v>
      </c>
      <c r="E369" s="1385">
        <v>1.0056779619150069</v>
      </c>
      <c r="F369" s="1385">
        <v>57.61474662454409</v>
      </c>
      <c r="K369" s="1465">
        <v>42426</v>
      </c>
      <c r="L369" s="1466" t="s">
        <v>2125</v>
      </c>
      <c r="M369" s="1467">
        <v>5.2531000000000001E-2</v>
      </c>
      <c r="N369" s="1468">
        <v>1.1354702253624736</v>
      </c>
      <c r="O369" s="1468">
        <v>1.1354702253624736</v>
      </c>
    </row>
    <row r="370" spans="2:15">
      <c r="B370" s="1384">
        <v>43678</v>
      </c>
      <c r="C370" s="1385">
        <v>736.40200000000004</v>
      </c>
      <c r="D370" s="1385">
        <v>5229.93</v>
      </c>
      <c r="E370" s="1385">
        <v>1.0050171948996307</v>
      </c>
      <c r="F370" s="1385">
        <v>57.903811037452265</v>
      </c>
      <c r="K370" s="1465">
        <v>42427</v>
      </c>
      <c r="L370" s="1466"/>
      <c r="M370" s="1467">
        <v>0</v>
      </c>
      <c r="N370" s="1468">
        <v>1.1354702253624736</v>
      </c>
      <c r="O370" s="1468">
        <v>1.1354702253624736</v>
      </c>
    </row>
    <row r="371" spans="2:15">
      <c r="B371" s="1384">
        <v>43709</v>
      </c>
      <c r="C371" s="1385">
        <v>736.36199999999997</v>
      </c>
      <c r="D371" s="1385">
        <v>5227.84</v>
      </c>
      <c r="E371" s="1385">
        <v>1.0046375999081099</v>
      </c>
      <c r="F371" s="1385">
        <v>58.172345746198765</v>
      </c>
      <c r="K371" s="1465">
        <v>42428</v>
      </c>
      <c r="L371" s="1466"/>
      <c r="M371" s="1467">
        <v>0</v>
      </c>
      <c r="N371" s="1468">
        <v>1.1354702253624736</v>
      </c>
      <c r="O371" s="1468">
        <v>1.1354702253624736</v>
      </c>
    </row>
    <row r="372" spans="2:15">
      <c r="B372" s="1384">
        <v>43739</v>
      </c>
      <c r="C372" s="1385">
        <v>741.33299999999997</v>
      </c>
      <c r="D372" s="1385">
        <v>5233.07</v>
      </c>
      <c r="E372" s="1385">
        <v>1.0047926409835022</v>
      </c>
      <c r="F372" s="1385">
        <v>58.451144914528456</v>
      </c>
      <c r="K372" s="1465">
        <v>42429</v>
      </c>
      <c r="L372" s="1466" t="s">
        <v>2125</v>
      </c>
      <c r="M372" s="1467">
        <v>5.2531000000000001E-2</v>
      </c>
      <c r="N372" s="1468">
        <v>1.1360666992265587</v>
      </c>
      <c r="O372" s="1468">
        <v>1.1360666992265587</v>
      </c>
    </row>
    <row r="373" spans="2:15">
      <c r="B373" s="1384">
        <v>43770</v>
      </c>
      <c r="C373" s="1385">
        <v>743.55799999999999</v>
      </c>
      <c r="D373" s="1385">
        <v>5259.76</v>
      </c>
      <c r="E373" s="1385">
        <v>1.0038038559813272</v>
      </c>
      <c r="F373" s="1385">
        <v>58.673484651727009</v>
      </c>
      <c r="K373" s="1465">
        <v>42430</v>
      </c>
      <c r="L373" s="1466" t="s">
        <v>2125</v>
      </c>
      <c r="M373" s="1467">
        <v>5.2531000000000001E-2</v>
      </c>
      <c r="N373" s="1468">
        <v>1.1366634864243295</v>
      </c>
      <c r="O373" s="1468">
        <v>1.1366634864243295</v>
      </c>
    </row>
    <row r="374" spans="2:15">
      <c r="B374" s="1384">
        <v>43800</v>
      </c>
      <c r="C374" s="1385">
        <v>759.11199999999997</v>
      </c>
      <c r="D374" s="1385">
        <v>5320.25</v>
      </c>
      <c r="E374" s="1385">
        <v>1.0037470387078873</v>
      </c>
      <c r="F374" s="1385">
        <v>58.893336469843661</v>
      </c>
      <c r="K374" s="1465">
        <v>42431</v>
      </c>
      <c r="L374" s="1466" t="s">
        <v>2125</v>
      </c>
      <c r="M374" s="1467">
        <v>5.2531000000000001E-2</v>
      </c>
      <c r="N374" s="1468">
        <v>1.1372605871203831</v>
      </c>
      <c r="O374" s="1468">
        <v>1.1372605871203831</v>
      </c>
    </row>
    <row r="375" spans="2:15">
      <c r="B375" s="1384">
        <v>43831</v>
      </c>
      <c r="C375" s="1385">
        <v>762.73299999999995</v>
      </c>
      <c r="D375" s="1385">
        <v>5331.42</v>
      </c>
      <c r="E375" s="1385">
        <v>1.00376633367529</v>
      </c>
      <c r="F375" s="1385">
        <v>59.115148426240218</v>
      </c>
      <c r="K375" s="1465">
        <v>42432</v>
      </c>
      <c r="L375" s="1466" t="s">
        <v>2125</v>
      </c>
      <c r="M375" s="1467">
        <v>5.2531000000000001E-2</v>
      </c>
      <c r="N375" s="1468">
        <v>1.1378580014794033</v>
      </c>
      <c r="O375" s="1468">
        <v>1.1378580014794033</v>
      </c>
    </row>
    <row r="376" spans="2:15">
      <c r="B376" s="1384">
        <v>43862</v>
      </c>
      <c r="C376" s="1385">
        <v>762.423</v>
      </c>
      <c r="D376" s="1385">
        <v>5344.75</v>
      </c>
      <c r="E376" s="1385">
        <v>1.0029372863155552</v>
      </c>
      <c r="F376" s="1385">
        <v>59.288786542754629</v>
      </c>
      <c r="K376" s="1465">
        <v>42433</v>
      </c>
      <c r="L376" s="1466" t="s">
        <v>2125</v>
      </c>
      <c r="M376" s="1467">
        <v>5.2531000000000001E-2</v>
      </c>
      <c r="N376" s="1468">
        <v>1.1384557296661604</v>
      </c>
      <c r="O376" s="1468">
        <v>1.1384557296661604</v>
      </c>
    </row>
    <row r="377" spans="2:15">
      <c r="B377" s="1384">
        <v>43891</v>
      </c>
      <c r="C377" s="1385">
        <v>771.90800000000002</v>
      </c>
      <c r="D377" s="1385">
        <v>5348.49</v>
      </c>
      <c r="E377" s="1385">
        <v>1.0033836914846632</v>
      </c>
      <c r="F377" s="1385">
        <v>59.489401504915364</v>
      </c>
      <c r="K377" s="1465">
        <v>42434</v>
      </c>
      <c r="L377" s="1466"/>
      <c r="M377" s="1467">
        <v>0</v>
      </c>
      <c r="N377" s="1468">
        <v>1.1384557296661604</v>
      </c>
      <c r="O377" s="1468">
        <v>1.1384557296661604</v>
      </c>
    </row>
    <row r="378" spans="2:15">
      <c r="B378" s="1384">
        <v>43922</v>
      </c>
      <c r="C378" s="1385">
        <v>778.101</v>
      </c>
      <c r="D378" s="1385">
        <v>5331.91</v>
      </c>
      <c r="E378" s="1385">
        <v>1.0028492490278405</v>
      </c>
      <c r="F378" s="1385">
        <v>59.658901624320052</v>
      </c>
      <c r="K378" s="1465">
        <v>42435</v>
      </c>
      <c r="L378" s="1466"/>
      <c r="M378" s="1467">
        <v>0</v>
      </c>
      <c r="N378" s="1468">
        <v>1.1384557296661604</v>
      </c>
      <c r="O378" s="1468">
        <v>1.1384557296661604</v>
      </c>
    </row>
    <row r="379" spans="2:15">
      <c r="B379" s="1384">
        <v>43952</v>
      </c>
      <c r="C379" s="1385">
        <v>780.28</v>
      </c>
      <c r="D379" s="1385">
        <v>5311.65</v>
      </c>
      <c r="E379" s="1385">
        <v>1.0023580961930716</v>
      </c>
      <c r="F379" s="1385">
        <v>59.799583053123193</v>
      </c>
      <c r="K379" s="1465">
        <v>42436</v>
      </c>
      <c r="L379" s="1466" t="s">
        <v>2125</v>
      </c>
      <c r="M379" s="1467">
        <v>5.2531000000000001E-2</v>
      </c>
      <c r="N379" s="1468">
        <v>1.1390537718455114</v>
      </c>
      <c r="O379" s="1468">
        <v>1.1390537718455114</v>
      </c>
    </row>
    <row r="380" spans="2:15">
      <c r="B380" s="1384">
        <v>43983</v>
      </c>
      <c r="C380" s="1385">
        <v>792.42899999999997</v>
      </c>
      <c r="D380" s="1385">
        <v>5325.46</v>
      </c>
      <c r="E380" s="1385">
        <v>1.0021233217736718</v>
      </c>
      <c r="F380" s="1385">
        <v>59.926556809876388</v>
      </c>
      <c r="K380" s="1465">
        <v>42437</v>
      </c>
      <c r="L380" s="1466" t="s">
        <v>2125</v>
      </c>
      <c r="M380" s="1467">
        <v>5.2531000000000001E-2</v>
      </c>
      <c r="N380" s="1468">
        <v>1.1396521281823995</v>
      </c>
      <c r="O380" s="1468">
        <v>1.1396521281823995</v>
      </c>
    </row>
    <row r="381" spans="2:15">
      <c r="B381" s="1384">
        <v>44013</v>
      </c>
      <c r="C381" s="1385">
        <v>810.08299999999997</v>
      </c>
      <c r="D381" s="1385">
        <v>5344.63</v>
      </c>
      <c r="E381" s="1385">
        <v>1.0019434641302636</v>
      </c>
      <c r="F381" s="1385">
        <v>60.043021923486585</v>
      </c>
      <c r="K381" s="1465">
        <v>42438</v>
      </c>
      <c r="L381" s="1466" t="s">
        <v>2125</v>
      </c>
      <c r="M381" s="1467">
        <v>5.2531000000000001E-2</v>
      </c>
      <c r="N381" s="1468">
        <v>1.1402507988418549</v>
      </c>
      <c r="O381" s="1468">
        <v>1.1402507988418549</v>
      </c>
    </row>
    <row r="382" spans="2:15">
      <c r="B382" s="1384">
        <v>44044</v>
      </c>
      <c r="C382" s="1385">
        <v>832.31299999999999</v>
      </c>
      <c r="D382" s="1385">
        <v>5357.46</v>
      </c>
      <c r="E382" s="1385">
        <v>1.0015988959789295</v>
      </c>
      <c r="F382" s="1385">
        <v>60.13902446980282</v>
      </c>
      <c r="K382" s="1465">
        <v>42439</v>
      </c>
      <c r="L382" s="1466" t="s">
        <v>2125</v>
      </c>
      <c r="M382" s="1467">
        <v>5.2531000000000001E-2</v>
      </c>
      <c r="N382" s="1468">
        <v>1.1408497839889944</v>
      </c>
      <c r="O382" s="1468">
        <v>1.1408497839889944</v>
      </c>
    </row>
    <row r="383" spans="2:15">
      <c r="B383" s="1384">
        <v>44075</v>
      </c>
      <c r="C383" s="1385">
        <v>868.44200000000001</v>
      </c>
      <c r="D383" s="1385">
        <v>5391.75</v>
      </c>
      <c r="E383" s="1385">
        <v>1.0015696620595307</v>
      </c>
      <c r="F383" s="1385">
        <v>60.233422414810256</v>
      </c>
      <c r="K383" s="1465">
        <v>42440</v>
      </c>
      <c r="L383" s="1466" t="s">
        <v>2125</v>
      </c>
      <c r="M383" s="1467">
        <v>5.2531000000000001E-2</v>
      </c>
      <c r="N383" s="1468">
        <v>1.1414490837890217</v>
      </c>
      <c r="O383" s="1468">
        <v>1.1414490837890217</v>
      </c>
    </row>
    <row r="384" spans="2:15">
      <c r="B384" s="1384">
        <v>44105</v>
      </c>
      <c r="C384" s="1385">
        <v>896.505</v>
      </c>
      <c r="D384" s="1385">
        <v>5438.12</v>
      </c>
      <c r="E384" s="1385">
        <v>1.00156966205953</v>
      </c>
      <c r="F384" s="1385">
        <v>60.327968532690427</v>
      </c>
      <c r="K384" s="1465">
        <v>42441</v>
      </c>
      <c r="L384" s="1466"/>
      <c r="M384" s="1467">
        <v>0</v>
      </c>
      <c r="N384" s="1468">
        <v>1.1414490837890217</v>
      </c>
      <c r="O384" s="1468">
        <v>1.1414490837890217</v>
      </c>
    </row>
    <row r="385" spans="2:15">
      <c r="B385" s="1384">
        <v>44136</v>
      </c>
      <c r="C385" s="1385">
        <v>925.88699999999994</v>
      </c>
      <c r="D385" s="1385">
        <v>5486.52</v>
      </c>
      <c r="E385" s="1385">
        <v>1.0014948604084073</v>
      </c>
      <c r="F385" s="1385">
        <v>60.418150424369585</v>
      </c>
      <c r="K385" s="1465">
        <v>42442</v>
      </c>
      <c r="L385" s="1466"/>
      <c r="M385" s="1467">
        <v>0</v>
      </c>
      <c r="N385" s="1468">
        <v>1.1414490837890217</v>
      </c>
      <c r="O385" s="1468">
        <v>1.1414490837890217</v>
      </c>
    </row>
    <row r="386" spans="2:15">
      <c r="B386" s="1384">
        <v>44166</v>
      </c>
      <c r="C386" s="1385">
        <v>934.75800000000004</v>
      </c>
      <c r="D386" s="1385">
        <v>5560.59</v>
      </c>
      <c r="E386" s="1385">
        <v>1.0016444692975899</v>
      </c>
      <c r="F386" s="1385">
        <v>60.517506217759632</v>
      </c>
      <c r="K386" s="1465">
        <v>42443</v>
      </c>
      <c r="L386" s="1466" t="s">
        <v>2125</v>
      </c>
      <c r="M386" s="1467">
        <v>5.2531000000000001E-2</v>
      </c>
      <c r="N386" s="1468">
        <v>1.1420486984072269</v>
      </c>
      <c r="O386" s="1468">
        <v>1.1420486984072269</v>
      </c>
    </row>
    <row r="387" spans="2:15">
      <c r="B387" s="1384">
        <v>44197</v>
      </c>
      <c r="C387" s="1385">
        <v>958.84400000000005</v>
      </c>
      <c r="D387" s="1385">
        <v>5574.49</v>
      </c>
      <c r="E387" s="1385">
        <v>1.0014948604084077</v>
      </c>
      <c r="F387" s="1385">
        <v>60.607971441820126</v>
      </c>
      <c r="K387" s="1465">
        <v>42444</v>
      </c>
      <c r="L387" s="1466" t="s">
        <v>2125</v>
      </c>
      <c r="M387" s="1467">
        <v>5.2531000000000001E-2</v>
      </c>
      <c r="N387" s="1468">
        <v>1.1426486280089871</v>
      </c>
      <c r="O387" s="1468">
        <v>1.1426486280089871</v>
      </c>
    </row>
    <row r="388" spans="2:15">
      <c r="B388" s="1384">
        <v>44228</v>
      </c>
      <c r="C388" s="1385">
        <v>983.06299999999999</v>
      </c>
      <c r="D388" s="1385">
        <v>5622.43</v>
      </c>
      <c r="E388" s="1385">
        <v>1.0013452738652961</v>
      </c>
      <c r="F388" s="1385">
        <v>60.689505761829423</v>
      </c>
      <c r="K388" s="1465">
        <v>42445</v>
      </c>
      <c r="L388" s="1466" t="s">
        <v>2125</v>
      </c>
      <c r="M388" s="1467">
        <v>5.2531000000000001E-2</v>
      </c>
      <c r="N388" s="1468">
        <v>1.1432488727597665</v>
      </c>
      <c r="O388" s="1468">
        <v>1.1432488727597665</v>
      </c>
    </row>
    <row r="389" spans="2:15">
      <c r="B389" s="1384">
        <v>44256</v>
      </c>
      <c r="C389" s="1385">
        <v>1011.948</v>
      </c>
      <c r="D389" s="1385">
        <v>5674.72</v>
      </c>
      <c r="E389" s="1385">
        <v>1.0020107988327946</v>
      </c>
      <c r="F389" s="1385">
        <v>60.811540149178192</v>
      </c>
      <c r="K389" s="1465">
        <v>42446</v>
      </c>
      <c r="L389" s="1466" t="s">
        <v>2125</v>
      </c>
      <c r="M389" s="1467">
        <v>5.2531000000000001E-2</v>
      </c>
      <c r="N389" s="1468">
        <v>1.1438494328251159</v>
      </c>
      <c r="O389" s="1468">
        <v>1.1438494328251159</v>
      </c>
    </row>
    <row r="390" spans="2:15">
      <c r="B390" s="1384">
        <v>44287</v>
      </c>
      <c r="C390" s="1385">
        <v>1027.211</v>
      </c>
      <c r="D390" s="1385">
        <v>5692.31</v>
      </c>
      <c r="E390" s="1385">
        <v>1.0020778480243349</v>
      </c>
      <c r="F390" s="1385">
        <v>60.937897287733925</v>
      </c>
      <c r="K390" s="1465">
        <v>42447</v>
      </c>
      <c r="L390" s="1466" t="s">
        <v>2125</v>
      </c>
      <c r="M390" s="1467">
        <v>5.2531000000000001E-2</v>
      </c>
      <c r="N390" s="1468">
        <v>1.1444503083706732</v>
      </c>
      <c r="O390" s="1468">
        <v>1.1444503083706732</v>
      </c>
    </row>
    <row r="391" spans="2:15">
      <c r="B391" s="1384">
        <v>44317</v>
      </c>
      <c r="C391" s="1385">
        <v>1069.289</v>
      </c>
      <c r="D391" s="1385">
        <v>5739.56</v>
      </c>
      <c r="E391" s="1385">
        <v>1.0027032626398216</v>
      </c>
      <c r="F391" s="1385">
        <v>61.102628428821141</v>
      </c>
      <c r="K391" s="1465">
        <v>42448</v>
      </c>
      <c r="L391" s="1466"/>
      <c r="M391" s="1467">
        <v>0</v>
      </c>
      <c r="N391" s="1468">
        <v>1.1444503083706732</v>
      </c>
      <c r="O391" s="1468">
        <v>1.1444503083706732</v>
      </c>
    </row>
    <row r="392" spans="2:15">
      <c r="B392" s="1384">
        <v>44348</v>
      </c>
      <c r="C392" s="1385">
        <v>1075.7329999999999</v>
      </c>
      <c r="D392" s="1385">
        <v>5769.98</v>
      </c>
      <c r="E392" s="1385">
        <v>1.0030777896833167</v>
      </c>
      <c r="F392" s="1385">
        <v>61.290689468222901</v>
      </c>
      <c r="K392" s="1465">
        <v>42449</v>
      </c>
      <c r="L392" s="1466"/>
      <c r="M392" s="1467">
        <v>0</v>
      </c>
      <c r="N392" s="1468">
        <v>1.1444503083706732</v>
      </c>
      <c r="O392" s="1468">
        <v>1.1444503083706732</v>
      </c>
    </row>
    <row r="393" spans="2:15">
      <c r="B393" s="1384">
        <v>44378</v>
      </c>
      <c r="C393" s="1385">
        <v>1084.095</v>
      </c>
      <c r="D393" s="1385">
        <v>5825.37</v>
      </c>
      <c r="E393" s="1385">
        <v>1.003556161780192</v>
      </c>
      <c r="F393" s="1385">
        <v>61.508649075591414</v>
      </c>
      <c r="K393" s="1465">
        <v>42450</v>
      </c>
      <c r="L393" s="1466" t="s">
        <v>2125</v>
      </c>
      <c r="M393" s="1467">
        <v>5.2531000000000001E-2</v>
      </c>
      <c r="N393" s="1468">
        <v>1.1450514995621635</v>
      </c>
      <c r="O393" s="1468">
        <v>1.1450514995621635</v>
      </c>
    </row>
    <row r="394" spans="2:15">
      <c r="B394" s="1384">
        <v>44409</v>
      </c>
      <c r="C394" s="1385">
        <v>1091.29</v>
      </c>
      <c r="D394" s="1385">
        <v>5876.05</v>
      </c>
      <c r="E394" s="1385">
        <v>1.0042795247734253</v>
      </c>
      <c r="F394" s="1385">
        <v>61.771876863090334</v>
      </c>
      <c r="K394" s="1465">
        <v>42451</v>
      </c>
      <c r="L394" s="1466" t="s">
        <v>2125</v>
      </c>
      <c r="M394" s="1467">
        <v>5.2531000000000001E-2</v>
      </c>
      <c r="N394" s="1468">
        <v>1.1456530065653985</v>
      </c>
      <c r="O394" s="1468">
        <v>1.1456530065653985</v>
      </c>
    </row>
    <row r="395" spans="2:15">
      <c r="B395" s="1384">
        <v>44440</v>
      </c>
      <c r="C395" s="1385">
        <v>1084.3119999999999</v>
      </c>
      <c r="D395" s="1385">
        <v>5944.21</v>
      </c>
      <c r="E395" s="1385">
        <v>1.0044199933223523</v>
      </c>
      <c r="F395" s="1385">
        <v>62.044908146334365</v>
      </c>
      <c r="K395" s="1465">
        <v>42452</v>
      </c>
      <c r="L395" s="1466" t="s">
        <v>2125</v>
      </c>
      <c r="M395" s="1467">
        <v>5.2531000000000001E-2</v>
      </c>
      <c r="N395" s="1468">
        <v>1.1462548295462773</v>
      </c>
      <c r="O395" s="1468">
        <v>1.1462548295462773</v>
      </c>
    </row>
    <row r="396" spans="2:15">
      <c r="B396" s="1384">
        <v>44470</v>
      </c>
      <c r="C396" s="1385">
        <v>1091.2829999999999</v>
      </c>
      <c r="D396" s="1385">
        <v>6018.51</v>
      </c>
      <c r="E396" s="1385">
        <v>1.0048599610251685</v>
      </c>
      <c r="F396" s="1385">
        <v>62.34644398173571</v>
      </c>
      <c r="K396" s="1465">
        <v>42453</v>
      </c>
      <c r="L396" s="1466" t="s">
        <v>2125</v>
      </c>
      <c r="M396" s="1467">
        <v>5.2531000000000001E-2</v>
      </c>
      <c r="N396" s="1468">
        <v>1.1468569686707863</v>
      </c>
      <c r="O396" s="1468">
        <v>1.1468569686707863</v>
      </c>
    </row>
    <row r="397" spans="2:15">
      <c r="B397" s="1384">
        <v>44501</v>
      </c>
      <c r="C397" s="1385">
        <v>1091.4829999999999</v>
      </c>
      <c r="D397" s="1385">
        <v>6075.69</v>
      </c>
      <c r="E397" s="1385">
        <v>1.0058674909390046</v>
      </c>
      <c r="F397" s="1385">
        <v>62.712261176877703</v>
      </c>
      <c r="K397" s="1465">
        <v>42454</v>
      </c>
      <c r="L397" s="1466"/>
      <c r="M397" s="1467">
        <v>0</v>
      </c>
      <c r="N397" s="1468">
        <v>1.1468569686707863</v>
      </c>
      <c r="O397" s="1468">
        <v>1.1468569686707863</v>
      </c>
    </row>
    <row r="398" spans="2:15">
      <c r="B398" s="1384">
        <v>44531</v>
      </c>
      <c r="C398" s="1385">
        <v>1100.9880000000001</v>
      </c>
      <c r="D398" s="1385">
        <v>6120.04</v>
      </c>
      <c r="E398" s="1385">
        <v>1.0076908308186336</v>
      </c>
      <c r="F398" s="1385">
        <v>63.194570567843037</v>
      </c>
      <c r="K398" s="1465">
        <v>42455</v>
      </c>
      <c r="L398" s="1466"/>
      <c r="M398" s="1467">
        <v>0</v>
      </c>
      <c r="N398" s="1468">
        <v>1.1468569686707863</v>
      </c>
      <c r="O398" s="1468">
        <v>1.1468569686707863</v>
      </c>
    </row>
    <row r="399" spans="2:15">
      <c r="B399" s="1384">
        <v>44562</v>
      </c>
      <c r="C399" s="1385">
        <v>1120.999</v>
      </c>
      <c r="D399" s="1385">
        <v>6153.09</v>
      </c>
      <c r="E399" s="1385">
        <v>1.0073227032460901</v>
      </c>
      <c r="F399" s="1385">
        <v>63.65732565487545</v>
      </c>
      <c r="K399" s="1465">
        <v>42456</v>
      </c>
      <c r="L399" s="1466"/>
      <c r="M399" s="1467">
        <v>0</v>
      </c>
      <c r="N399" s="1468">
        <v>1.1468569686707863</v>
      </c>
      <c r="O399" s="1468">
        <v>1.1468569686707863</v>
      </c>
    </row>
    <row r="400" spans="2:15">
      <c r="B400" s="1384">
        <v>44593</v>
      </c>
      <c r="C400" s="1385">
        <v>1141.546</v>
      </c>
      <c r="D400" s="1385">
        <v>6215.24</v>
      </c>
      <c r="E400" s="1385">
        <v>1.0075504098703885</v>
      </c>
      <c r="F400" s="1385">
        <v>64.13796455482256</v>
      </c>
      <c r="K400" s="1465">
        <v>42457</v>
      </c>
      <c r="L400" s="1466" t="s">
        <v>2125</v>
      </c>
      <c r="M400" s="1467">
        <v>5.2531000000000001E-2</v>
      </c>
      <c r="N400" s="1468">
        <v>1.1474594241049989</v>
      </c>
      <c r="O400" s="1468">
        <v>1.1474594241049989</v>
      </c>
    </row>
    <row r="401" spans="2:15">
      <c r="B401" s="1384">
        <v>44621</v>
      </c>
      <c r="C401" s="1385">
        <v>1161.4179999999999</v>
      </c>
      <c r="D401" s="1385">
        <v>6315.93</v>
      </c>
      <c r="E401" s="1385">
        <v>1.0092705386289318</v>
      </c>
      <c r="F401" s="1385">
        <v>64.732558032809095</v>
      </c>
      <c r="K401" s="1465">
        <v>42458</v>
      </c>
      <c r="L401" s="1466" t="s">
        <v>2125</v>
      </c>
      <c r="M401" s="1467">
        <v>5.2531000000000001E-2</v>
      </c>
      <c r="N401" s="1468">
        <v>1.1480621960150754</v>
      </c>
      <c r="O401" s="1468">
        <v>1.1480621960150754</v>
      </c>
    </row>
    <row r="402" spans="2:15">
      <c r="B402" s="1384">
        <v>44652</v>
      </c>
      <c r="C402" s="1385">
        <v>1177.809</v>
      </c>
      <c r="D402" s="1385">
        <v>6382.88</v>
      </c>
      <c r="E402" s="1385">
        <v>1.0083432052372134</v>
      </c>
      <c r="F402" s="1385">
        <v>65.272635050006656</v>
      </c>
      <c r="K402" s="1465">
        <v>42459</v>
      </c>
      <c r="L402" s="1466" t="s">
        <v>2125</v>
      </c>
      <c r="M402" s="1467">
        <v>5.2531000000000001E-2</v>
      </c>
      <c r="N402" s="1468">
        <v>1.148665284567264</v>
      </c>
      <c r="O402" s="1468">
        <v>1.148665284567264</v>
      </c>
    </row>
    <row r="403" spans="2:15">
      <c r="B403" s="1384">
        <v>44682</v>
      </c>
      <c r="C403" s="1385">
        <v>1183.953</v>
      </c>
      <c r="D403" s="1385">
        <v>6412.88</v>
      </c>
      <c r="E403" s="1385">
        <v>1.0103459230153136</v>
      </c>
      <c r="F403" s="1385">
        <v>65.947940707240676</v>
      </c>
      <c r="K403" s="1465">
        <v>42460</v>
      </c>
      <c r="L403" s="1466" t="s">
        <v>2125</v>
      </c>
      <c r="M403" s="1467">
        <v>5.2531000000000001E-2</v>
      </c>
      <c r="N403" s="1468">
        <v>1.1492686899279001</v>
      </c>
      <c r="O403" s="1468">
        <v>1.1492686899279001</v>
      </c>
    </row>
    <row r="404" spans="2:15">
      <c r="B404" s="1384">
        <v>44713</v>
      </c>
      <c r="C404" s="1385">
        <v>1190.8820000000001</v>
      </c>
      <c r="D404" s="1385">
        <v>6455.85</v>
      </c>
      <c r="E404" s="1385">
        <v>1.0101531560893695</v>
      </c>
      <c r="F404" s="1385">
        <v>66.617520443013774</v>
      </c>
      <c r="K404" s="1465">
        <v>42461</v>
      </c>
      <c r="L404" s="1466" t="s">
        <v>2125</v>
      </c>
      <c r="M404" s="1467">
        <v>5.2531000000000001E-2</v>
      </c>
      <c r="N404" s="1468">
        <v>1.1498724122634061</v>
      </c>
      <c r="O404" s="1468">
        <v>1.1498724122634061</v>
      </c>
    </row>
    <row r="405" spans="2:15">
      <c r="B405" s="1384">
        <v>44743</v>
      </c>
      <c r="C405" s="1385">
        <v>1193.337</v>
      </c>
      <c r="D405" s="1385">
        <v>6411.95</v>
      </c>
      <c r="E405" s="1385">
        <v>1.0103484243492924</v>
      </c>
      <c r="F405" s="1385">
        <v>67.306906813655743</v>
      </c>
      <c r="K405" s="1465">
        <v>42462</v>
      </c>
      <c r="L405" s="1466"/>
      <c r="M405" s="1467">
        <v>0</v>
      </c>
      <c r="N405" s="1468">
        <v>1.1498724122634061</v>
      </c>
      <c r="O405" s="1468">
        <v>1.1498724122634061</v>
      </c>
    </row>
    <row r="406" spans="2:15">
      <c r="B406" s="1384">
        <v>44774</v>
      </c>
      <c r="C406" s="1385">
        <v>1185.0039999999999</v>
      </c>
      <c r="D406" s="1385">
        <v>6388.87</v>
      </c>
      <c r="E406" s="1385">
        <v>1.0116936128000631</v>
      </c>
      <c r="F406" s="1385">
        <v>68.093967720704555</v>
      </c>
      <c r="K406" s="1465">
        <v>42463</v>
      </c>
      <c r="L406" s="1466"/>
      <c r="M406" s="1467">
        <v>0</v>
      </c>
      <c r="N406" s="1468">
        <v>1.1498724122634061</v>
      </c>
      <c r="O406" s="1468">
        <v>1.1498724122634061</v>
      </c>
    </row>
    <row r="407" spans="2:15">
      <c r="B407" s="1384">
        <v>44805</v>
      </c>
      <c r="C407" s="1385">
        <v>1188.5886370999999</v>
      </c>
      <c r="D407" s="1385">
        <v>6404.6441200300005</v>
      </c>
      <c r="E407" s="1385">
        <v>1.010719822473549</v>
      </c>
      <c r="F407" s="1385">
        <v>68.823922966190082</v>
      </c>
      <c r="K407" s="1465">
        <v>42464</v>
      </c>
      <c r="L407" s="1466" t="s">
        <v>2125</v>
      </c>
      <c r="M407" s="1467">
        <v>5.2531000000000001E-2</v>
      </c>
      <c r="N407" s="1468">
        <v>1.1504764517402921</v>
      </c>
      <c r="O407" s="1468">
        <v>1.1504764517402921</v>
      </c>
    </row>
    <row r="408" spans="2:15">
      <c r="B408" s="1384">
        <v>44835</v>
      </c>
      <c r="C408" s="1385">
        <v>1195.4598680110751</v>
      </c>
      <c r="D408" s="1385">
        <v>6437.1220703626732</v>
      </c>
      <c r="E408" s="1385">
        <v>1.0102067586649579</v>
      </c>
      <c r="F408" s="1385">
        <v>69.526392138281636</v>
      </c>
      <c r="K408" s="1465">
        <v>42465</v>
      </c>
      <c r="L408" s="1466" t="s">
        <v>2125</v>
      </c>
      <c r="M408" s="1467">
        <v>5.2531000000000001E-2</v>
      </c>
      <c r="N408" s="1468">
        <v>1.1510808085251558</v>
      </c>
      <c r="O408" s="1468">
        <v>1.1510808085251558</v>
      </c>
    </row>
    <row r="409" spans="2:15">
      <c r="B409" s="1384">
        <v>44866</v>
      </c>
      <c r="C409" s="1385">
        <v>1202.90399660918</v>
      </c>
      <c r="D409" s="1385">
        <v>6470.2603747808998</v>
      </c>
      <c r="E409" s="1385">
        <v>1.0102067586649579</v>
      </c>
      <c r="F409" s="1385">
        <v>70.236031243682305</v>
      </c>
      <c r="K409" s="1465">
        <v>42466</v>
      </c>
      <c r="L409" s="1466" t="s">
        <v>2125</v>
      </c>
      <c r="M409" s="1467">
        <v>5.2531000000000001E-2</v>
      </c>
      <c r="N409" s="1468">
        <v>1.1516854827846821</v>
      </c>
      <c r="O409" s="1468">
        <v>1.1516854827846821</v>
      </c>
    </row>
    <row r="410" spans="2:15">
      <c r="B410" s="1384">
        <v>44896</v>
      </c>
      <c r="C410" s="1385">
        <v>1210.0636811969978</v>
      </c>
      <c r="D410" s="1385">
        <v>6518.3732309277702</v>
      </c>
      <c r="E410" s="1385">
        <v>1.0112331468569864</v>
      </c>
      <c r="F410" s="1385">
        <v>71.02500289729447</v>
      </c>
      <c r="K410" s="1465">
        <v>42467</v>
      </c>
      <c r="L410" s="1466" t="s">
        <v>2125</v>
      </c>
      <c r="M410" s="1467">
        <v>5.2531000000000001E-2</v>
      </c>
      <c r="N410" s="1468">
        <v>1.1522904746856437</v>
      </c>
      <c r="O410" s="1468">
        <v>1.1522904746856437</v>
      </c>
    </row>
    <row r="411" spans="2:15">
      <c r="B411" s="1384">
        <v>44927</v>
      </c>
      <c r="C411" s="1385">
        <v>1216.2204852069281</v>
      </c>
      <c r="D411" s="1385">
        <v>6562.8546098556208</v>
      </c>
      <c r="E411" s="1385">
        <v>1.0112331468569866</v>
      </c>
      <c r="F411" s="1385">
        <v>71.822837185357685</v>
      </c>
      <c r="K411" s="1465">
        <v>42468</v>
      </c>
      <c r="L411" s="1466" t="s">
        <v>2125</v>
      </c>
      <c r="M411" s="1467">
        <v>5.2531000000000001E-2</v>
      </c>
      <c r="N411" s="1468">
        <v>1.1528957843949008</v>
      </c>
      <c r="O411" s="1468">
        <v>1.1528957843949008</v>
      </c>
    </row>
    <row r="412" spans="2:15">
      <c r="B412" s="1384">
        <v>44958</v>
      </c>
      <c r="C412" s="1385">
        <v>1221.2130702987026</v>
      </c>
      <c r="D412" s="1385">
        <v>6605.2243992168487</v>
      </c>
      <c r="E412" s="1385">
        <v>1.0091814122432907</v>
      </c>
      <c r="F412" s="1385">
        <v>72.482272262039203</v>
      </c>
      <c r="K412" s="1465">
        <v>42469</v>
      </c>
      <c r="L412" s="1466"/>
      <c r="M412" s="1467">
        <v>0</v>
      </c>
      <c r="N412" s="1468">
        <v>1.1528957843949008</v>
      </c>
      <c r="O412" s="1468">
        <v>1.1528957843949008</v>
      </c>
    </row>
    <row r="413" spans="2:15">
      <c r="B413" s="1384">
        <v>44986</v>
      </c>
      <c r="C413" s="1385">
        <v>1226.0405255655935</v>
      </c>
      <c r="D413" s="1385">
        <v>6636.5860046643302</v>
      </c>
      <c r="E413" s="1385">
        <v>1.0117467319476126</v>
      </c>
      <c r="F413" s="1385">
        <v>73.333702085255254</v>
      </c>
      <c r="K413" s="1465">
        <v>42470</v>
      </c>
      <c r="L413" s="1466"/>
      <c r="M413" s="1467">
        <v>0</v>
      </c>
      <c r="N413" s="1468">
        <v>1.1528957843949008</v>
      </c>
      <c r="O413" s="1468">
        <v>1.1528957843949008</v>
      </c>
    </row>
    <row r="414" spans="2:15">
      <c r="B414" s="1384">
        <v>45017</v>
      </c>
      <c r="C414" s="1385">
        <v>1230.1955769067354</v>
      </c>
      <c r="D414" s="1385">
        <v>6667.1143002857852</v>
      </c>
      <c r="E414" s="1385">
        <v>1.0091814122432907</v>
      </c>
      <c r="F414" s="1385">
        <v>74.007009035426648</v>
      </c>
      <c r="K414" s="1465">
        <v>42471</v>
      </c>
      <c r="L414" s="1466" t="s">
        <v>2125</v>
      </c>
      <c r="M414" s="1467">
        <v>5.2531000000000001E-2</v>
      </c>
      <c r="N414" s="1468">
        <v>1.1535014120794014</v>
      </c>
      <c r="O414" s="1468">
        <v>1.1535014120794014</v>
      </c>
    </row>
    <row r="415" spans="2:15">
      <c r="B415" s="1384">
        <v>45047</v>
      </c>
      <c r="C415" s="1385">
        <v>1233.7926687736106</v>
      </c>
      <c r="D415" s="1385">
        <v>6689.8024902496581</v>
      </c>
      <c r="E415" s="1385">
        <v>1.0112331468569866</v>
      </c>
      <c r="F415" s="1385">
        <v>74.838340636367931</v>
      </c>
      <c r="K415" s="1465">
        <v>42472</v>
      </c>
      <c r="L415" s="1466" t="s">
        <v>2125</v>
      </c>
      <c r="M415" s="1467">
        <v>5.2531000000000001E-2</v>
      </c>
      <c r="N415" s="1468">
        <v>1.1541073579061809</v>
      </c>
      <c r="O415" s="1468">
        <v>1.1541073579061809</v>
      </c>
    </row>
    <row r="416" spans="2:15">
      <c r="B416" s="1384">
        <v>45078</v>
      </c>
      <c r="C416" s="1385">
        <v>1238.0924362242865</v>
      </c>
      <c r="D416" s="1385">
        <v>6710.8887476989257</v>
      </c>
      <c r="E416" s="1385">
        <v>1.010719822473549</v>
      </c>
      <c r="F416" s="1385">
        <v>75.64059436220478</v>
      </c>
      <c r="K416" s="1465">
        <v>42473</v>
      </c>
      <c r="L416" s="1466" t="s">
        <v>2125</v>
      </c>
      <c r="M416" s="1467">
        <v>5.2531000000000001E-2</v>
      </c>
      <c r="N416" s="1468">
        <v>1.1547136220423626</v>
      </c>
      <c r="O416" s="1468">
        <v>1.1547136220423626</v>
      </c>
    </row>
    <row r="417" spans="2:15">
      <c r="B417" s="1384">
        <v>45108</v>
      </c>
      <c r="C417" s="1385">
        <v>1241.6878566590819</v>
      </c>
      <c r="D417" s="1385">
        <v>6731.658948373054</v>
      </c>
      <c r="E417" s="1385">
        <v>1.0107198224735483</v>
      </c>
      <c r="F417" s="1385">
        <v>76.451448105561298</v>
      </c>
      <c r="K417" s="1465">
        <v>42474</v>
      </c>
      <c r="L417" s="1466" t="s">
        <v>2125</v>
      </c>
      <c r="M417" s="1467">
        <v>5.2531000000000001E-2</v>
      </c>
      <c r="N417" s="1468">
        <v>1.1553202046551576</v>
      </c>
      <c r="O417" s="1468">
        <v>1.1553202046551576</v>
      </c>
    </row>
    <row r="418" spans="2:15">
      <c r="B418" s="1384">
        <v>45139</v>
      </c>
      <c r="C418" s="1385">
        <v>1245.6153153496946</v>
      </c>
      <c r="D418" s="1385">
        <v>6747.6399067164921</v>
      </c>
      <c r="E418" s="1385">
        <v>1.0117467319476126</v>
      </c>
      <c r="F418" s="1385">
        <v>77.349502773464138</v>
      </c>
      <c r="K418" s="1465">
        <v>42475</v>
      </c>
      <c r="L418" s="1466" t="s">
        <v>2125</v>
      </c>
      <c r="M418" s="1467">
        <v>5.2531000000000001E-2</v>
      </c>
      <c r="N418" s="1468">
        <v>1.155927105911865</v>
      </c>
      <c r="O418" s="1468">
        <v>1.155927105911865</v>
      </c>
    </row>
    <row r="419" spans="2:15">
      <c r="B419" s="1384">
        <v>45170</v>
      </c>
      <c r="C419" s="1385">
        <v>1251.1570578876854</v>
      </c>
      <c r="D419" s="1385">
        <v>6769.6169698926678</v>
      </c>
      <c r="E419" s="1385">
        <v>1.0102067586649579</v>
      </c>
      <c r="F419" s="1385">
        <v>78.138990481127379</v>
      </c>
      <c r="K419" s="1465">
        <v>42476</v>
      </c>
      <c r="L419" s="1466"/>
      <c r="M419" s="1467">
        <v>0</v>
      </c>
      <c r="N419" s="1468">
        <v>1.155927105911865</v>
      </c>
      <c r="O419" s="1468">
        <v>1.155927105911865</v>
      </c>
    </row>
    <row r="420" spans="2:15">
      <c r="B420" s="1384">
        <v>45200</v>
      </c>
      <c r="C420" s="1385">
        <v>1257.0750307714941</v>
      </c>
      <c r="D420" s="1385">
        <v>6796.3637265407142</v>
      </c>
      <c r="E420" s="1385">
        <v>1.0107198224735487</v>
      </c>
      <c r="F420" s="1385">
        <v>78.976626587347383</v>
      </c>
      <c r="K420" s="1465">
        <v>42477</v>
      </c>
      <c r="L420" s="1466"/>
      <c r="M420" s="1467">
        <v>0</v>
      </c>
      <c r="N420" s="1468">
        <v>1.155927105911865</v>
      </c>
      <c r="O420" s="1468">
        <v>1.155927105911865</v>
      </c>
    </row>
    <row r="421" spans="2:15">
      <c r="B421" s="1384">
        <v>45231</v>
      </c>
      <c r="C421" s="1385">
        <v>1262.6702717334581</v>
      </c>
      <c r="D421" s="1385">
        <v>6821.4830868740082</v>
      </c>
      <c r="E421" s="1385">
        <v>1.0102067586649577</v>
      </c>
      <c r="F421" s="1385">
        <v>79.782721955096918</v>
      </c>
      <c r="K421" s="1465">
        <v>42478</v>
      </c>
      <c r="L421" s="1466" t="s">
        <v>2125</v>
      </c>
      <c r="M421" s="1467">
        <v>5.2531000000000001E-2</v>
      </c>
      <c r="N421" s="1468">
        <v>1.1565343259798715</v>
      </c>
      <c r="O421" s="1468">
        <v>1.1565343259798715</v>
      </c>
    </row>
    <row r="422" spans="2:15">
      <c r="B422" s="1384">
        <v>45261</v>
      </c>
      <c r="C422" s="1385">
        <v>1268.1742514479442</v>
      </c>
      <c r="D422" s="1385">
        <v>6857.9166280410027</v>
      </c>
      <c r="E422" s="1385">
        <v>1.0102067586649579</v>
      </c>
      <c r="F422" s="1385">
        <v>80.597044943726033</v>
      </c>
      <c r="K422" s="1465">
        <v>42479</v>
      </c>
      <c r="L422" s="1466" t="s">
        <v>2125</v>
      </c>
      <c r="M422" s="1467">
        <v>5.2531000000000001E-2</v>
      </c>
      <c r="N422" s="1468">
        <v>1.1571418650266521</v>
      </c>
      <c r="O422" s="1468">
        <v>1.1571418650266521</v>
      </c>
    </row>
    <row r="423" spans="2:15">
      <c r="B423" s="1384">
        <v>45292</v>
      </c>
      <c r="C423" s="1385" t="e">
        <v>#N/A</v>
      </c>
      <c r="D423" s="1385" t="e">
        <v>#N/A</v>
      </c>
      <c r="E423" s="1385" t="e">
        <v>#N/A</v>
      </c>
      <c r="F423" s="1385" t="e">
        <f t="shared" ref="F423:F483" si="0">F422*E423</f>
        <v>#N/A</v>
      </c>
      <c r="K423" s="1465">
        <v>42480</v>
      </c>
      <c r="L423" s="1466" t="s">
        <v>2125</v>
      </c>
      <c r="M423" s="1467">
        <v>5.2531000000000001E-2</v>
      </c>
      <c r="N423" s="1468">
        <v>1.1577497232197693</v>
      </c>
      <c r="O423" s="1468">
        <v>1.1577497232197693</v>
      </c>
    </row>
    <row r="424" spans="2:15">
      <c r="B424" s="1384">
        <v>45323</v>
      </c>
      <c r="C424" s="1385" t="e">
        <v>#N/A</v>
      </c>
      <c r="D424" s="1385" t="e">
        <v>#N/A</v>
      </c>
      <c r="E424" s="1385" t="e">
        <v>#N/A</v>
      </c>
      <c r="F424" s="1385" t="e">
        <f t="shared" si="0"/>
        <v>#N/A</v>
      </c>
      <c r="K424" s="1465">
        <v>42481</v>
      </c>
      <c r="L424" s="1466"/>
      <c r="M424" s="1467">
        <v>0</v>
      </c>
      <c r="N424" s="1468">
        <v>1.1577497232197693</v>
      </c>
      <c r="O424" s="1468">
        <v>1.1577497232197693</v>
      </c>
    </row>
    <row r="425" spans="2:15">
      <c r="B425" s="1384">
        <v>45352</v>
      </c>
      <c r="C425" s="1385" t="e">
        <v>#N/A</v>
      </c>
      <c r="D425" s="1385" t="e">
        <v>#N/A</v>
      </c>
      <c r="E425" s="1385" t="e">
        <v>#N/A</v>
      </c>
      <c r="F425" s="1385" t="e">
        <f t="shared" si="0"/>
        <v>#N/A</v>
      </c>
      <c r="K425" s="1465">
        <v>42482</v>
      </c>
      <c r="L425" s="1466" t="s">
        <v>2125</v>
      </c>
      <c r="M425" s="1467">
        <v>5.2531000000000001E-2</v>
      </c>
      <c r="N425" s="1468">
        <v>1.1583579007268738</v>
      </c>
      <c r="O425" s="1468">
        <v>1.1583579007268738</v>
      </c>
    </row>
    <row r="426" spans="2:15">
      <c r="B426" s="1384">
        <v>45383</v>
      </c>
      <c r="C426" s="1385" t="e">
        <v>#N/A</v>
      </c>
      <c r="D426" s="1385" t="e">
        <v>#N/A</v>
      </c>
      <c r="E426" s="1385" t="e">
        <v>#N/A</v>
      </c>
      <c r="F426" s="1385" t="e">
        <f t="shared" si="0"/>
        <v>#N/A</v>
      </c>
      <c r="K426" s="1465">
        <v>42483</v>
      </c>
      <c r="L426" s="1466"/>
      <c r="M426" s="1467">
        <v>0</v>
      </c>
      <c r="N426" s="1468">
        <v>1.1583579007268738</v>
      </c>
      <c r="O426" s="1468">
        <v>1.1583579007268738</v>
      </c>
    </row>
    <row r="427" spans="2:15">
      <c r="B427" s="1384">
        <v>45413</v>
      </c>
      <c r="C427" s="1385" t="e">
        <v>#N/A</v>
      </c>
      <c r="D427" s="1385" t="e">
        <v>#N/A</v>
      </c>
      <c r="E427" s="1385" t="e">
        <v>#N/A</v>
      </c>
      <c r="F427" s="1385" t="e">
        <f t="shared" si="0"/>
        <v>#N/A</v>
      </c>
      <c r="K427" s="1465">
        <v>42484</v>
      </c>
      <c r="L427" s="1466"/>
      <c r="M427" s="1467">
        <v>0</v>
      </c>
      <c r="N427" s="1468">
        <v>1.1583579007268738</v>
      </c>
      <c r="O427" s="1468">
        <v>1.1583579007268738</v>
      </c>
    </row>
    <row r="428" spans="2:15">
      <c r="B428" s="1384">
        <v>45444</v>
      </c>
      <c r="C428" s="1385" t="e">
        <v>#N/A</v>
      </c>
      <c r="D428" s="1385" t="e">
        <v>#N/A</v>
      </c>
      <c r="E428" s="1385" t="e">
        <v>#N/A</v>
      </c>
      <c r="F428" s="1385" t="e">
        <f t="shared" si="0"/>
        <v>#N/A</v>
      </c>
      <c r="K428" s="1465">
        <v>42485</v>
      </c>
      <c r="L428" s="1466" t="s">
        <v>2125</v>
      </c>
      <c r="M428" s="1467">
        <v>5.2531000000000001E-2</v>
      </c>
      <c r="N428" s="1468">
        <v>1.1589663977157048</v>
      </c>
      <c r="O428" s="1468">
        <v>1.1589663977157048</v>
      </c>
    </row>
    <row r="429" spans="2:15">
      <c r="B429" s="1384">
        <v>45474</v>
      </c>
      <c r="C429" s="1385" t="e">
        <v>#N/A</v>
      </c>
      <c r="D429" s="1385" t="e">
        <v>#N/A</v>
      </c>
      <c r="E429" s="1385" t="e">
        <v>#N/A</v>
      </c>
      <c r="F429" s="1385" t="e">
        <f t="shared" si="0"/>
        <v>#N/A</v>
      </c>
      <c r="K429" s="1465">
        <v>42486</v>
      </c>
      <c r="L429" s="1466" t="s">
        <v>2125</v>
      </c>
      <c r="M429" s="1467">
        <v>5.2531000000000001E-2</v>
      </c>
      <c r="N429" s="1468">
        <v>1.1595752143540887</v>
      </c>
      <c r="O429" s="1468">
        <v>1.1595752143540887</v>
      </c>
    </row>
    <row r="430" spans="2:15">
      <c r="B430" s="1384">
        <v>45505</v>
      </c>
      <c r="C430" s="1385" t="e">
        <v>#N/A</v>
      </c>
      <c r="D430" s="1385" t="e">
        <v>#N/A</v>
      </c>
      <c r="E430" s="1385" t="e">
        <v>#N/A</v>
      </c>
      <c r="F430" s="1385" t="e">
        <f t="shared" si="0"/>
        <v>#N/A</v>
      </c>
      <c r="K430" s="1465">
        <v>42487</v>
      </c>
      <c r="L430" s="1466" t="s">
        <v>2125</v>
      </c>
      <c r="M430" s="1467">
        <v>5.2531000000000001E-2</v>
      </c>
      <c r="N430" s="1468">
        <v>1.160184350809941</v>
      </c>
      <c r="O430" s="1468">
        <v>1.160184350809941</v>
      </c>
    </row>
    <row r="431" spans="2:15">
      <c r="B431" s="1384">
        <v>45536</v>
      </c>
      <c r="C431" s="1385" t="e">
        <v>#N/A</v>
      </c>
      <c r="D431" s="1385" t="e">
        <v>#N/A</v>
      </c>
      <c r="E431" s="1385" t="e">
        <v>#N/A</v>
      </c>
      <c r="F431" s="1385" t="e">
        <f t="shared" si="0"/>
        <v>#N/A</v>
      </c>
      <c r="K431" s="1465">
        <v>42488</v>
      </c>
      <c r="L431" s="1466" t="s">
        <v>2125</v>
      </c>
      <c r="M431" s="1467">
        <v>5.2531000000000001E-2</v>
      </c>
      <c r="N431" s="1468">
        <v>1.1607938072512649</v>
      </c>
      <c r="O431" s="1468">
        <v>1.1607938072512649</v>
      </c>
    </row>
    <row r="432" spans="2:15">
      <c r="B432" s="1384">
        <v>45566</v>
      </c>
      <c r="C432" s="1385" t="e">
        <v>#N/A</v>
      </c>
      <c r="D432" s="1385" t="e">
        <v>#N/A</v>
      </c>
      <c r="E432" s="1385" t="e">
        <v>#N/A</v>
      </c>
      <c r="F432" s="1385" t="e">
        <f t="shared" si="0"/>
        <v>#N/A</v>
      </c>
      <c r="K432" s="1465">
        <v>42489</v>
      </c>
      <c r="L432" s="1466" t="s">
        <v>2125</v>
      </c>
      <c r="M432" s="1467">
        <v>5.2531000000000001E-2</v>
      </c>
      <c r="N432" s="1468">
        <v>1.1614035838461521</v>
      </c>
      <c r="O432" s="1468">
        <v>1.1614035838461521</v>
      </c>
    </row>
    <row r="433" spans="2:15">
      <c r="B433" s="1384">
        <v>45597</v>
      </c>
      <c r="C433" s="1385" t="e">
        <v>#N/A</v>
      </c>
      <c r="D433" s="1385" t="e">
        <v>#N/A</v>
      </c>
      <c r="E433" s="1385" t="e">
        <v>#N/A</v>
      </c>
      <c r="F433" s="1385" t="e">
        <f t="shared" si="0"/>
        <v>#N/A</v>
      </c>
      <c r="K433" s="1465">
        <v>42490</v>
      </c>
      <c r="L433" s="1466"/>
      <c r="M433" s="1467">
        <v>0</v>
      </c>
      <c r="N433" s="1468">
        <v>1.1614035838461521</v>
      </c>
      <c r="O433" s="1468">
        <v>1.1614035838461521</v>
      </c>
    </row>
    <row r="434" spans="2:15">
      <c r="B434" s="1384">
        <v>45627</v>
      </c>
      <c r="C434" s="1385" t="e">
        <v>#N/A</v>
      </c>
      <c r="D434" s="1385" t="e">
        <v>#N/A</v>
      </c>
      <c r="E434" s="1385" t="e">
        <v>#N/A</v>
      </c>
      <c r="F434" s="1385" t="e">
        <f t="shared" si="0"/>
        <v>#N/A</v>
      </c>
      <c r="K434" s="1465">
        <v>42491</v>
      </c>
      <c r="L434" s="1466"/>
      <c r="M434" s="1467">
        <v>0</v>
      </c>
      <c r="N434" s="1468">
        <v>1.1614035838461521</v>
      </c>
      <c r="O434" s="1468">
        <v>1.1614035838461521</v>
      </c>
    </row>
    <row r="435" spans="2:15">
      <c r="B435" s="1384">
        <v>45658</v>
      </c>
      <c r="C435" s="1385" t="e">
        <v>#N/A</v>
      </c>
      <c r="D435" s="1385" t="e">
        <v>#N/A</v>
      </c>
      <c r="E435" s="1385" t="e">
        <v>#N/A</v>
      </c>
      <c r="F435" s="1385" t="e">
        <f t="shared" si="0"/>
        <v>#N/A</v>
      </c>
      <c r="K435" s="1465">
        <v>42492</v>
      </c>
      <c r="L435" s="1466" t="s">
        <v>2125</v>
      </c>
      <c r="M435" s="1467">
        <v>5.2531000000000001E-2</v>
      </c>
      <c r="N435" s="1468">
        <v>1.1620136807627823</v>
      </c>
      <c r="O435" s="1468">
        <v>1.1620136807627823</v>
      </c>
    </row>
    <row r="436" spans="2:15">
      <c r="B436" s="1384">
        <v>45689</v>
      </c>
      <c r="C436" s="1385" t="e">
        <v>#N/A</v>
      </c>
      <c r="D436" s="1385" t="e">
        <v>#N/A</v>
      </c>
      <c r="E436" s="1385" t="e">
        <v>#N/A</v>
      </c>
      <c r="F436" s="1385" t="e">
        <f t="shared" si="0"/>
        <v>#N/A</v>
      </c>
      <c r="K436" s="1465">
        <v>42493</v>
      </c>
      <c r="L436" s="1466" t="s">
        <v>2125</v>
      </c>
      <c r="M436" s="1467">
        <v>5.2531000000000001E-2</v>
      </c>
      <c r="N436" s="1468">
        <v>1.1626240981694238</v>
      </c>
      <c r="O436" s="1468">
        <v>1.1626240981694238</v>
      </c>
    </row>
    <row r="437" spans="2:15">
      <c r="B437" s="1384">
        <v>45717</v>
      </c>
      <c r="C437" s="1385" t="e">
        <v>#N/A</v>
      </c>
      <c r="D437" s="1385" t="e">
        <v>#N/A</v>
      </c>
      <c r="E437" s="1385" t="e">
        <v>#N/A</v>
      </c>
      <c r="F437" s="1385" t="e">
        <f t="shared" si="0"/>
        <v>#N/A</v>
      </c>
      <c r="K437" s="1465">
        <v>42494</v>
      </c>
      <c r="L437" s="1466" t="s">
        <v>2125</v>
      </c>
      <c r="M437" s="1467">
        <v>5.2531000000000001E-2</v>
      </c>
      <c r="N437" s="1468">
        <v>1.1632348362344331</v>
      </c>
      <c r="O437" s="1468">
        <v>1.1632348362344331</v>
      </c>
    </row>
    <row r="438" spans="2:15">
      <c r="B438" s="1384">
        <v>45748</v>
      </c>
      <c r="C438" s="1385" t="e">
        <v>#N/A</v>
      </c>
      <c r="D438" s="1385" t="e">
        <v>#N/A</v>
      </c>
      <c r="E438" s="1385" t="e">
        <v>#N/A</v>
      </c>
      <c r="F438" s="1385" t="e">
        <f t="shared" si="0"/>
        <v>#N/A</v>
      </c>
      <c r="K438" s="1465">
        <v>42495</v>
      </c>
      <c r="L438" s="1466" t="s">
        <v>2125</v>
      </c>
      <c r="M438" s="1467">
        <v>5.2531000000000001E-2</v>
      </c>
      <c r="N438" s="1468">
        <v>1.1638458951262554</v>
      </c>
      <c r="O438" s="1468">
        <v>1.1638458951262554</v>
      </c>
    </row>
    <row r="439" spans="2:15">
      <c r="B439" s="1384">
        <v>45778</v>
      </c>
      <c r="C439" s="1385" t="e">
        <v>#N/A</v>
      </c>
      <c r="D439" s="1385" t="e">
        <v>#N/A</v>
      </c>
      <c r="E439" s="1385" t="e">
        <v>#N/A</v>
      </c>
      <c r="F439" s="1385" t="e">
        <f t="shared" si="0"/>
        <v>#N/A</v>
      </c>
      <c r="K439" s="1465">
        <v>42496</v>
      </c>
      <c r="L439" s="1466" t="s">
        <v>2125</v>
      </c>
      <c r="M439" s="1467">
        <v>5.2531000000000001E-2</v>
      </c>
      <c r="N439" s="1468">
        <v>1.1644572750134241</v>
      </c>
      <c r="O439" s="1468">
        <v>1.1644572750134241</v>
      </c>
    </row>
    <row r="440" spans="2:15">
      <c r="B440" s="1384">
        <v>45809</v>
      </c>
      <c r="C440" s="1385" t="e">
        <v>#N/A</v>
      </c>
      <c r="D440" s="1385" t="e">
        <v>#N/A</v>
      </c>
      <c r="E440" s="1385" t="e">
        <v>#N/A</v>
      </c>
      <c r="F440" s="1385" t="e">
        <f t="shared" si="0"/>
        <v>#N/A</v>
      </c>
      <c r="K440" s="1465">
        <v>42497</v>
      </c>
      <c r="L440" s="1466"/>
      <c r="M440" s="1467">
        <v>0</v>
      </c>
      <c r="N440" s="1468">
        <v>1.1644572750134241</v>
      </c>
      <c r="O440" s="1468">
        <v>1.1644572750134241</v>
      </c>
    </row>
    <row r="441" spans="2:15">
      <c r="B441" s="1384">
        <v>45839</v>
      </c>
      <c r="C441" s="1385" t="e">
        <v>#N/A</v>
      </c>
      <c r="D441" s="1385" t="e">
        <v>#N/A</v>
      </c>
      <c r="E441" s="1385" t="e">
        <v>#N/A</v>
      </c>
      <c r="F441" s="1385" t="e">
        <f t="shared" si="0"/>
        <v>#N/A</v>
      </c>
      <c r="K441" s="1465">
        <v>42498</v>
      </c>
      <c r="L441" s="1466"/>
      <c r="M441" s="1467">
        <v>0</v>
      </c>
      <c r="N441" s="1468">
        <v>1.1644572750134241</v>
      </c>
      <c r="O441" s="1468">
        <v>1.1644572750134241</v>
      </c>
    </row>
    <row r="442" spans="2:15">
      <c r="B442" s="1384">
        <v>45870</v>
      </c>
      <c r="C442" s="1385" t="e">
        <v>#N/A</v>
      </c>
      <c r="D442" s="1385" t="e">
        <v>#N/A</v>
      </c>
      <c r="E442" s="1385" t="e">
        <v>#N/A</v>
      </c>
      <c r="F442" s="1385" t="e">
        <f t="shared" si="0"/>
        <v>#N/A</v>
      </c>
      <c r="K442" s="1465">
        <v>42499</v>
      </c>
      <c r="L442" s="1466" t="s">
        <v>2125</v>
      </c>
      <c r="M442" s="1467">
        <v>5.2531000000000001E-2</v>
      </c>
      <c r="N442" s="1468">
        <v>1.1650689760645614</v>
      </c>
      <c r="O442" s="1468">
        <v>1.1650689760645614</v>
      </c>
    </row>
    <row r="443" spans="2:15">
      <c r="B443" s="1384">
        <v>45901</v>
      </c>
      <c r="C443" s="1385" t="e">
        <v>#N/A</v>
      </c>
      <c r="D443" s="1385" t="e">
        <v>#N/A</v>
      </c>
      <c r="E443" s="1385" t="e">
        <v>#N/A</v>
      </c>
      <c r="F443" s="1385" t="e">
        <f t="shared" si="0"/>
        <v>#N/A</v>
      </c>
      <c r="K443" s="1465">
        <v>42500</v>
      </c>
      <c r="L443" s="1466" t="s">
        <v>2125</v>
      </c>
      <c r="M443" s="1467">
        <v>5.2531000000000001E-2</v>
      </c>
      <c r="N443" s="1468">
        <v>1.1656809984483778</v>
      </c>
      <c r="O443" s="1468">
        <v>1.1656809984483778</v>
      </c>
    </row>
    <row r="444" spans="2:15">
      <c r="B444" s="1384">
        <v>45931</v>
      </c>
      <c r="C444" s="1385" t="e">
        <v>#N/A</v>
      </c>
      <c r="D444" s="1385" t="e">
        <v>#N/A</v>
      </c>
      <c r="E444" s="1385" t="e">
        <v>#N/A</v>
      </c>
      <c r="F444" s="1385" t="e">
        <f t="shared" si="0"/>
        <v>#N/A</v>
      </c>
      <c r="K444" s="1465">
        <v>42501</v>
      </c>
      <c r="L444" s="1466" t="s">
        <v>2125</v>
      </c>
      <c r="M444" s="1467">
        <v>5.2531000000000001E-2</v>
      </c>
      <c r="N444" s="1468">
        <v>1.1662933423336728</v>
      </c>
      <c r="O444" s="1468">
        <v>1.1662933423336728</v>
      </c>
    </row>
    <row r="445" spans="2:15">
      <c r="B445" s="1384">
        <v>45962</v>
      </c>
      <c r="C445" s="1385" t="e">
        <v>#N/A</v>
      </c>
      <c r="D445" s="1385" t="e">
        <v>#N/A</v>
      </c>
      <c r="E445" s="1385" t="e">
        <v>#N/A</v>
      </c>
      <c r="F445" s="1385" t="e">
        <f t="shared" si="0"/>
        <v>#N/A</v>
      </c>
      <c r="K445" s="1465">
        <v>42502</v>
      </c>
      <c r="L445" s="1466" t="s">
        <v>2125</v>
      </c>
      <c r="M445" s="1467">
        <v>5.2531000000000001E-2</v>
      </c>
      <c r="N445" s="1468">
        <v>1.1669060078893341</v>
      </c>
      <c r="O445" s="1468">
        <v>1.1669060078893341</v>
      </c>
    </row>
    <row r="446" spans="2:15">
      <c r="B446" s="1384">
        <v>45992</v>
      </c>
      <c r="C446" s="1385" t="e">
        <v>#N/A</v>
      </c>
      <c r="D446" s="1385" t="e">
        <v>#N/A</v>
      </c>
      <c r="E446" s="1385" t="e">
        <v>#N/A</v>
      </c>
      <c r="F446" s="1385" t="e">
        <f t="shared" si="0"/>
        <v>#N/A</v>
      </c>
      <c r="K446" s="1465">
        <v>42503</v>
      </c>
      <c r="L446" s="1466" t="s">
        <v>2125</v>
      </c>
      <c r="M446" s="1467">
        <v>5.2531000000000001E-2</v>
      </c>
      <c r="N446" s="1468">
        <v>1.1675189952843383</v>
      </c>
      <c r="O446" s="1468">
        <v>1.1675189952843383</v>
      </c>
    </row>
    <row r="447" spans="2:15">
      <c r="B447" s="1384">
        <v>46023</v>
      </c>
      <c r="C447" s="1385" t="e">
        <v>#N/A</v>
      </c>
      <c r="D447" s="1385" t="e">
        <v>#N/A</v>
      </c>
      <c r="E447" s="1385" t="e">
        <v>#N/A</v>
      </c>
      <c r="F447" s="1385" t="e">
        <f t="shared" si="0"/>
        <v>#N/A</v>
      </c>
      <c r="K447" s="1465">
        <v>42504</v>
      </c>
      <c r="L447" s="1466"/>
      <c r="M447" s="1467">
        <v>0</v>
      </c>
      <c r="N447" s="1468">
        <v>1.1675189952843383</v>
      </c>
      <c r="O447" s="1468">
        <v>1.1675189952843383</v>
      </c>
    </row>
    <row r="448" spans="2:15">
      <c r="B448" s="1384">
        <v>46054</v>
      </c>
      <c r="C448" s="1385" t="e">
        <v>#N/A</v>
      </c>
      <c r="D448" s="1385" t="e">
        <v>#N/A</v>
      </c>
      <c r="E448" s="1385" t="e">
        <v>#N/A</v>
      </c>
      <c r="F448" s="1385" t="e">
        <f t="shared" si="0"/>
        <v>#N/A</v>
      </c>
      <c r="K448" s="1465">
        <v>42505</v>
      </c>
      <c r="L448" s="1466"/>
      <c r="M448" s="1467">
        <v>0</v>
      </c>
      <c r="N448" s="1468">
        <v>1.1675189952843383</v>
      </c>
      <c r="O448" s="1468">
        <v>1.1675189952843383</v>
      </c>
    </row>
    <row r="449" spans="2:15">
      <c r="B449" s="1384">
        <v>46082</v>
      </c>
      <c r="C449" s="1385" t="e">
        <v>#N/A</v>
      </c>
      <c r="D449" s="1385" t="e">
        <v>#N/A</v>
      </c>
      <c r="E449" s="1385" t="e">
        <v>#N/A</v>
      </c>
      <c r="F449" s="1385" t="e">
        <f t="shared" si="0"/>
        <v>#N/A</v>
      </c>
      <c r="K449" s="1465">
        <v>42506</v>
      </c>
      <c r="L449" s="1466" t="s">
        <v>2125</v>
      </c>
      <c r="M449" s="1467">
        <v>5.2531000000000001E-2</v>
      </c>
      <c r="N449" s="1468">
        <v>1.1681323046877512</v>
      </c>
      <c r="O449" s="1468">
        <v>1.1681323046877512</v>
      </c>
    </row>
    <row r="450" spans="2:15">
      <c r="B450" s="1384">
        <v>46113</v>
      </c>
      <c r="C450" s="1385" t="e">
        <v>#N/A</v>
      </c>
      <c r="D450" s="1385" t="e">
        <v>#N/A</v>
      </c>
      <c r="E450" s="1385" t="e">
        <v>#N/A</v>
      </c>
      <c r="F450" s="1385" t="e">
        <f t="shared" si="0"/>
        <v>#N/A</v>
      </c>
      <c r="K450" s="1465">
        <v>42507</v>
      </c>
      <c r="L450" s="1466" t="s">
        <v>2125</v>
      </c>
      <c r="M450" s="1467">
        <v>5.2531000000000001E-2</v>
      </c>
      <c r="N450" s="1468">
        <v>1.1687459362687267</v>
      </c>
      <c r="O450" s="1468">
        <v>1.1687459362687267</v>
      </c>
    </row>
    <row r="451" spans="2:15">
      <c r="B451" s="1384">
        <v>46143</v>
      </c>
      <c r="C451" s="1385" t="e">
        <v>#N/A</v>
      </c>
      <c r="D451" s="1385" t="e">
        <v>#N/A</v>
      </c>
      <c r="E451" s="1385" t="e">
        <v>#N/A</v>
      </c>
      <c r="F451" s="1385" t="e">
        <f t="shared" si="0"/>
        <v>#N/A</v>
      </c>
      <c r="K451" s="1465">
        <v>42508</v>
      </c>
      <c r="L451" s="1466" t="s">
        <v>2125</v>
      </c>
      <c r="M451" s="1467">
        <v>5.2531000000000001E-2</v>
      </c>
      <c r="N451" s="1468">
        <v>1.1693598901965081</v>
      </c>
      <c r="O451" s="1468">
        <v>1.1693598901965081</v>
      </c>
    </row>
    <row r="452" spans="2:15">
      <c r="B452" s="1384">
        <v>46174</v>
      </c>
      <c r="C452" s="1385" t="e">
        <v>#N/A</v>
      </c>
      <c r="D452" s="1385" t="e">
        <v>#N/A</v>
      </c>
      <c r="E452" s="1385" t="e">
        <v>#N/A</v>
      </c>
      <c r="F452" s="1385" t="e">
        <f t="shared" si="0"/>
        <v>#N/A</v>
      </c>
      <c r="K452" s="1465">
        <v>42509</v>
      </c>
      <c r="L452" s="1466" t="s">
        <v>2125</v>
      </c>
      <c r="M452" s="1467">
        <v>5.2531000000000001E-2</v>
      </c>
      <c r="N452" s="1468">
        <v>1.1699741666404273</v>
      </c>
      <c r="O452" s="1468">
        <v>1.1699741666404273</v>
      </c>
    </row>
    <row r="453" spans="2:15">
      <c r="B453" s="1384">
        <v>46204</v>
      </c>
      <c r="C453" s="1385" t="e">
        <v>#N/A</v>
      </c>
      <c r="D453" s="1385" t="e">
        <v>#N/A</v>
      </c>
      <c r="E453" s="1385" t="e">
        <v>#N/A</v>
      </c>
      <c r="F453" s="1385" t="e">
        <f t="shared" si="0"/>
        <v>#N/A</v>
      </c>
      <c r="K453" s="1465">
        <v>42510</v>
      </c>
      <c r="L453" s="1466" t="s">
        <v>2125</v>
      </c>
      <c r="M453" s="1467">
        <v>5.2531000000000001E-2</v>
      </c>
      <c r="N453" s="1468">
        <v>1.1705887657699052</v>
      </c>
      <c r="O453" s="1468">
        <v>1.1705887657699052</v>
      </c>
    </row>
    <row r="454" spans="2:15">
      <c r="B454" s="1384">
        <v>46235</v>
      </c>
      <c r="C454" s="1385" t="e">
        <v>#N/A</v>
      </c>
      <c r="D454" s="1385" t="e">
        <v>#N/A</v>
      </c>
      <c r="E454" s="1385" t="e">
        <v>#N/A</v>
      </c>
      <c r="F454" s="1385" t="e">
        <f t="shared" si="0"/>
        <v>#N/A</v>
      </c>
      <c r="K454" s="1465">
        <v>42511</v>
      </c>
      <c r="L454" s="1466"/>
      <c r="M454" s="1467">
        <v>0</v>
      </c>
      <c r="N454" s="1468">
        <v>1.1705887657699052</v>
      </c>
      <c r="O454" s="1468">
        <v>1.1705887657699052</v>
      </c>
    </row>
    <row r="455" spans="2:15">
      <c r="B455" s="1384">
        <v>46266</v>
      </c>
      <c r="C455" s="1385" t="e">
        <v>#N/A</v>
      </c>
      <c r="D455" s="1385" t="e">
        <v>#N/A</v>
      </c>
      <c r="E455" s="1385" t="e">
        <v>#N/A</v>
      </c>
      <c r="F455" s="1385" t="e">
        <f t="shared" si="0"/>
        <v>#N/A</v>
      </c>
      <c r="K455" s="1465">
        <v>42512</v>
      </c>
      <c r="L455" s="1466"/>
      <c r="M455" s="1467">
        <v>0</v>
      </c>
      <c r="N455" s="1468">
        <v>1.1705887657699052</v>
      </c>
      <c r="O455" s="1468">
        <v>1.1705887657699052</v>
      </c>
    </row>
    <row r="456" spans="2:15">
      <c r="B456" s="1384">
        <v>46296</v>
      </c>
      <c r="C456" s="1385" t="e">
        <v>#N/A</v>
      </c>
      <c r="D456" s="1385" t="e">
        <v>#N/A</v>
      </c>
      <c r="E456" s="1385" t="e">
        <v>#N/A</v>
      </c>
      <c r="F456" s="1385" t="e">
        <f t="shared" si="0"/>
        <v>#N/A</v>
      </c>
      <c r="K456" s="1465">
        <v>42513</v>
      </c>
      <c r="L456" s="1466" t="s">
        <v>2125</v>
      </c>
      <c r="M456" s="1467">
        <v>5.2531000000000001E-2</v>
      </c>
      <c r="N456" s="1468">
        <v>1.1712036877544518</v>
      </c>
      <c r="O456" s="1468">
        <v>1.1712036877544518</v>
      </c>
    </row>
    <row r="457" spans="2:15">
      <c r="B457" s="1384">
        <v>46327</v>
      </c>
      <c r="C457" s="1385" t="e">
        <v>#N/A</v>
      </c>
      <c r="D457" s="1385" t="e">
        <v>#N/A</v>
      </c>
      <c r="E457" s="1385" t="e">
        <v>#N/A</v>
      </c>
      <c r="F457" s="1385" t="e">
        <f t="shared" si="0"/>
        <v>#N/A</v>
      </c>
      <c r="K457" s="1465">
        <v>42514</v>
      </c>
      <c r="L457" s="1466" t="s">
        <v>2125</v>
      </c>
      <c r="M457" s="1467">
        <v>5.2531000000000001E-2</v>
      </c>
      <c r="N457" s="1468">
        <v>1.1718189327636661</v>
      </c>
      <c r="O457" s="1468">
        <v>1.1718189327636661</v>
      </c>
    </row>
    <row r="458" spans="2:15">
      <c r="B458" s="1384">
        <v>46357</v>
      </c>
      <c r="C458" s="1385" t="e">
        <v>#N/A</v>
      </c>
      <c r="D458" s="1385" t="e">
        <v>#N/A</v>
      </c>
      <c r="E458" s="1385" t="e">
        <v>#N/A</v>
      </c>
      <c r="F458" s="1385" t="e">
        <f t="shared" si="0"/>
        <v>#N/A</v>
      </c>
      <c r="K458" s="1465">
        <v>42515</v>
      </c>
      <c r="L458" s="1466" t="s">
        <v>2125</v>
      </c>
      <c r="M458" s="1467">
        <v>5.2531000000000001E-2</v>
      </c>
      <c r="N458" s="1468">
        <v>1.1724345009672361</v>
      </c>
      <c r="O458" s="1468">
        <v>1.1724345009672361</v>
      </c>
    </row>
    <row r="459" spans="2:15">
      <c r="B459" s="1384">
        <v>46388</v>
      </c>
      <c r="C459" s="1385" t="e">
        <v>#N/A</v>
      </c>
      <c r="D459" s="1385" t="e">
        <v>#N/A</v>
      </c>
      <c r="E459" s="1385" t="e">
        <v>#N/A</v>
      </c>
      <c r="F459" s="1385" t="e">
        <f t="shared" si="0"/>
        <v>#N/A</v>
      </c>
      <c r="K459" s="1465">
        <v>42516</v>
      </c>
      <c r="L459" s="1466"/>
      <c r="M459" s="1467">
        <v>0</v>
      </c>
      <c r="N459" s="1468">
        <v>1.1724345009672361</v>
      </c>
      <c r="O459" s="1468">
        <v>1.1724345009672361</v>
      </c>
    </row>
    <row r="460" spans="2:15">
      <c r="B460" s="1384">
        <v>46419</v>
      </c>
      <c r="C460" s="1385" t="e">
        <v>#N/A</v>
      </c>
      <c r="D460" s="1385" t="e">
        <v>#N/A</v>
      </c>
      <c r="E460" s="1385" t="e">
        <v>#N/A</v>
      </c>
      <c r="F460" s="1385" t="e">
        <f t="shared" si="0"/>
        <v>#N/A</v>
      </c>
      <c r="K460" s="1465">
        <v>42517</v>
      </c>
      <c r="L460" s="1466" t="s">
        <v>2125</v>
      </c>
      <c r="M460" s="1467">
        <v>5.2531000000000001E-2</v>
      </c>
      <c r="N460" s="1468">
        <v>1.1730503925349391</v>
      </c>
      <c r="O460" s="1468">
        <v>1.1730503925349391</v>
      </c>
    </row>
    <row r="461" spans="2:15">
      <c r="B461" s="1384">
        <v>46447</v>
      </c>
      <c r="C461" s="1385" t="e">
        <v>#N/A</v>
      </c>
      <c r="D461" s="1385" t="e">
        <v>#N/A</v>
      </c>
      <c r="E461" s="1385" t="e">
        <v>#N/A</v>
      </c>
      <c r="F461" s="1385" t="e">
        <f t="shared" si="0"/>
        <v>#N/A</v>
      </c>
      <c r="K461" s="1465">
        <v>42518</v>
      </c>
      <c r="L461" s="1466"/>
      <c r="M461" s="1467">
        <v>0</v>
      </c>
      <c r="N461" s="1468">
        <v>1.1730503925349391</v>
      </c>
      <c r="O461" s="1468">
        <v>1.1730503925349391</v>
      </c>
    </row>
    <row r="462" spans="2:15">
      <c r="B462" s="1384">
        <v>46478</v>
      </c>
      <c r="C462" s="1385" t="e">
        <v>#N/A</v>
      </c>
      <c r="D462" s="1385" t="e">
        <v>#N/A</v>
      </c>
      <c r="E462" s="1385" t="e">
        <v>#N/A</v>
      </c>
      <c r="F462" s="1385" t="e">
        <f t="shared" si="0"/>
        <v>#N/A</v>
      </c>
      <c r="K462" s="1465">
        <v>42519</v>
      </c>
      <c r="L462" s="1466"/>
      <c r="M462" s="1467">
        <v>0</v>
      </c>
      <c r="N462" s="1468">
        <v>1.1730503925349391</v>
      </c>
      <c r="O462" s="1468">
        <v>1.1730503925349391</v>
      </c>
    </row>
    <row r="463" spans="2:15">
      <c r="B463" s="1384">
        <v>46508</v>
      </c>
      <c r="C463" s="1385" t="e">
        <v>#N/A</v>
      </c>
      <c r="D463" s="1385" t="e">
        <v>#N/A</v>
      </c>
      <c r="E463" s="1385" t="e">
        <v>#N/A</v>
      </c>
      <c r="F463" s="1385" t="e">
        <f t="shared" si="0"/>
        <v>#N/A</v>
      </c>
      <c r="K463" s="1465">
        <v>42520</v>
      </c>
      <c r="L463" s="1466" t="s">
        <v>2125</v>
      </c>
      <c r="M463" s="1467">
        <v>5.2531000000000001E-2</v>
      </c>
      <c r="N463" s="1468">
        <v>1.1736666076366418</v>
      </c>
      <c r="O463" s="1468">
        <v>1.1736666076366418</v>
      </c>
    </row>
    <row r="464" spans="2:15">
      <c r="B464" s="1384">
        <v>46539</v>
      </c>
      <c r="C464" s="1385" t="e">
        <v>#N/A</v>
      </c>
      <c r="D464" s="1385" t="e">
        <v>#N/A</v>
      </c>
      <c r="E464" s="1385" t="e">
        <v>#N/A</v>
      </c>
      <c r="F464" s="1385" t="e">
        <f t="shared" si="0"/>
        <v>#N/A</v>
      </c>
      <c r="K464" s="1465">
        <v>42521</v>
      </c>
      <c r="L464" s="1466" t="s">
        <v>2125</v>
      </c>
      <c r="M464" s="1467">
        <v>5.2531000000000001E-2</v>
      </c>
      <c r="N464" s="1468">
        <v>1.1742831464422994</v>
      </c>
      <c r="O464" s="1468">
        <v>1.1742831464422994</v>
      </c>
    </row>
    <row r="465" spans="2:15">
      <c r="B465" s="1384">
        <v>46569</v>
      </c>
      <c r="C465" s="1385" t="e">
        <v>#N/A</v>
      </c>
      <c r="D465" s="1385" t="e">
        <v>#N/A</v>
      </c>
      <c r="E465" s="1385" t="e">
        <v>#N/A</v>
      </c>
      <c r="F465" s="1385" t="e">
        <f t="shared" si="0"/>
        <v>#N/A</v>
      </c>
      <c r="K465" s="1465">
        <v>42522</v>
      </c>
      <c r="L465" s="1466" t="s">
        <v>2125</v>
      </c>
      <c r="M465" s="1467">
        <v>5.2531000000000001E-2</v>
      </c>
      <c r="N465" s="1468">
        <v>1.174900009121957</v>
      </c>
      <c r="O465" s="1468">
        <v>1.174900009121957</v>
      </c>
    </row>
    <row r="466" spans="2:15">
      <c r="B466" s="1384">
        <v>46600</v>
      </c>
      <c r="C466" s="1385" t="e">
        <v>#N/A</v>
      </c>
      <c r="D466" s="1385" t="e">
        <v>#N/A</v>
      </c>
      <c r="E466" s="1385" t="e">
        <v>#N/A</v>
      </c>
      <c r="F466" s="1385" t="e">
        <f t="shared" si="0"/>
        <v>#N/A</v>
      </c>
      <c r="K466" s="1465">
        <v>42523</v>
      </c>
      <c r="L466" s="1466" t="s">
        <v>2125</v>
      </c>
      <c r="M466" s="1467">
        <v>5.2531000000000001E-2</v>
      </c>
      <c r="N466" s="1468">
        <v>1.1755171958457489</v>
      </c>
      <c r="O466" s="1468">
        <v>1.1755171958457489</v>
      </c>
    </row>
    <row r="467" spans="2:15">
      <c r="B467" s="1384">
        <v>46631</v>
      </c>
      <c r="C467" s="1385" t="e">
        <v>#N/A</v>
      </c>
      <c r="D467" s="1385" t="e">
        <v>#N/A</v>
      </c>
      <c r="E467" s="1385" t="e">
        <v>#N/A</v>
      </c>
      <c r="F467" s="1385" t="e">
        <f t="shared" si="0"/>
        <v>#N/A</v>
      </c>
      <c r="K467" s="1465">
        <v>42524</v>
      </c>
      <c r="L467" s="1466" t="s">
        <v>2125</v>
      </c>
      <c r="M467" s="1467">
        <v>5.2531000000000001E-2</v>
      </c>
      <c r="N467" s="1468">
        <v>1.1761347067838985</v>
      </c>
      <c r="O467" s="1468">
        <v>1.1761347067838985</v>
      </c>
    </row>
    <row r="468" spans="2:15">
      <c r="B468" s="1384">
        <v>46661</v>
      </c>
      <c r="C468" s="1385" t="e">
        <v>#N/A</v>
      </c>
      <c r="D468" s="1385" t="e">
        <v>#N/A</v>
      </c>
      <c r="E468" s="1385" t="e">
        <v>#N/A</v>
      </c>
      <c r="F468" s="1385" t="e">
        <f t="shared" si="0"/>
        <v>#N/A</v>
      </c>
      <c r="K468" s="1465">
        <v>42525</v>
      </c>
      <c r="L468" s="1466"/>
      <c r="M468" s="1467">
        <v>0</v>
      </c>
      <c r="N468" s="1468">
        <v>1.1761347067838985</v>
      </c>
      <c r="O468" s="1468">
        <v>1.1761347067838985</v>
      </c>
    </row>
    <row r="469" spans="2:15">
      <c r="B469" s="1384">
        <v>46692</v>
      </c>
      <c r="C469" s="1385" t="e">
        <v>#N/A</v>
      </c>
      <c r="D469" s="1385" t="e">
        <v>#N/A</v>
      </c>
      <c r="E469" s="1385" t="e">
        <v>#N/A</v>
      </c>
      <c r="F469" s="1385" t="e">
        <f t="shared" si="0"/>
        <v>#N/A</v>
      </c>
      <c r="K469" s="1465">
        <v>42526</v>
      </c>
      <c r="L469" s="1466"/>
      <c r="M469" s="1467">
        <v>0</v>
      </c>
      <c r="N469" s="1468">
        <v>1.1761347067838985</v>
      </c>
      <c r="O469" s="1468">
        <v>1.1761347067838985</v>
      </c>
    </row>
    <row r="470" spans="2:15">
      <c r="B470" s="1384">
        <v>46722</v>
      </c>
      <c r="C470" s="1385" t="e">
        <v>#N/A</v>
      </c>
      <c r="D470" s="1385" t="e">
        <v>#N/A</v>
      </c>
      <c r="E470" s="1385" t="e">
        <v>#N/A</v>
      </c>
      <c r="F470" s="1385" t="e">
        <f t="shared" si="0"/>
        <v>#N/A</v>
      </c>
      <c r="K470" s="1465">
        <v>42527</v>
      </c>
      <c r="L470" s="1466" t="s">
        <v>2125</v>
      </c>
      <c r="M470" s="1467">
        <v>5.2531000000000001E-2</v>
      </c>
      <c r="N470" s="1468">
        <v>1.1767525421067191</v>
      </c>
      <c r="O470" s="1468">
        <v>1.1767525421067191</v>
      </c>
    </row>
    <row r="471" spans="2:15">
      <c r="B471" s="1384">
        <v>46753</v>
      </c>
      <c r="C471" s="1385" t="e">
        <v>#N/A</v>
      </c>
      <c r="D471" s="1385" t="e">
        <v>#N/A</v>
      </c>
      <c r="E471" s="1385" t="e">
        <v>#N/A</v>
      </c>
      <c r="F471" s="1385" t="e">
        <f t="shared" si="0"/>
        <v>#N/A</v>
      </c>
      <c r="K471" s="1465">
        <v>42528</v>
      </c>
      <c r="L471" s="1466" t="s">
        <v>2125</v>
      </c>
      <c r="M471" s="1467">
        <v>5.2531000000000001E-2</v>
      </c>
      <c r="N471" s="1468">
        <v>1.1773707019846131</v>
      </c>
      <c r="O471" s="1468">
        <v>1.1773707019846131</v>
      </c>
    </row>
    <row r="472" spans="2:15">
      <c r="B472" s="1384">
        <v>46784</v>
      </c>
      <c r="C472" s="1385" t="e">
        <v>#N/A</v>
      </c>
      <c r="D472" s="1385" t="e">
        <v>#N/A</v>
      </c>
      <c r="E472" s="1385" t="e">
        <v>#N/A</v>
      </c>
      <c r="F472" s="1385" t="e">
        <f t="shared" si="0"/>
        <v>#N/A</v>
      </c>
      <c r="K472" s="1465">
        <v>42529</v>
      </c>
      <c r="L472" s="1466" t="s">
        <v>2125</v>
      </c>
      <c r="M472" s="1467">
        <v>5.2531000000000001E-2</v>
      </c>
      <c r="N472" s="1468">
        <v>1.1779891865880727</v>
      </c>
      <c r="O472" s="1468">
        <v>1.1779891865880727</v>
      </c>
    </row>
    <row r="473" spans="2:15">
      <c r="B473" s="1384">
        <v>46813</v>
      </c>
      <c r="C473" s="1385" t="e">
        <v>#N/A</v>
      </c>
      <c r="D473" s="1385" t="e">
        <v>#N/A</v>
      </c>
      <c r="E473" s="1385" t="e">
        <v>#N/A</v>
      </c>
      <c r="F473" s="1385" t="e">
        <f t="shared" si="0"/>
        <v>#N/A</v>
      </c>
      <c r="K473" s="1465">
        <v>42530</v>
      </c>
      <c r="L473" s="1466" t="s">
        <v>2125</v>
      </c>
      <c r="M473" s="1467">
        <v>5.2531000000000001E-2</v>
      </c>
      <c r="N473" s="1468">
        <v>1.1786079960876794</v>
      </c>
      <c r="O473" s="1468">
        <v>1.1786079960876794</v>
      </c>
    </row>
    <row r="474" spans="2:15">
      <c r="B474" s="1384">
        <v>46844</v>
      </c>
      <c r="C474" s="1385" t="e">
        <v>#N/A</v>
      </c>
      <c r="D474" s="1385" t="e">
        <v>#N/A</v>
      </c>
      <c r="E474" s="1385" t="e">
        <v>#N/A</v>
      </c>
      <c r="F474" s="1385" t="e">
        <f t="shared" si="0"/>
        <v>#N/A</v>
      </c>
      <c r="K474" s="1465">
        <v>42531</v>
      </c>
      <c r="L474" s="1466" t="s">
        <v>2125</v>
      </c>
      <c r="M474" s="1467">
        <v>5.2531000000000001E-2</v>
      </c>
      <c r="N474" s="1468">
        <v>1.1792271306541042</v>
      </c>
      <c r="O474" s="1468">
        <v>1.1792271306541042</v>
      </c>
    </row>
    <row r="475" spans="2:15">
      <c r="B475" s="1384">
        <v>46874</v>
      </c>
      <c r="C475" s="1385" t="e">
        <v>#N/A</v>
      </c>
      <c r="D475" s="1385" t="e">
        <v>#N/A</v>
      </c>
      <c r="E475" s="1385" t="e">
        <v>#N/A</v>
      </c>
      <c r="F475" s="1385" t="e">
        <f t="shared" si="0"/>
        <v>#N/A</v>
      </c>
      <c r="K475" s="1465">
        <v>42532</v>
      </c>
      <c r="L475" s="1466"/>
      <c r="M475" s="1467">
        <v>0</v>
      </c>
      <c r="N475" s="1468">
        <v>1.1792271306541042</v>
      </c>
      <c r="O475" s="1468">
        <v>1.1792271306541042</v>
      </c>
    </row>
    <row r="476" spans="2:15">
      <c r="B476" s="1384">
        <v>46905</v>
      </c>
      <c r="C476" s="1385" t="e">
        <v>#N/A</v>
      </c>
      <c r="D476" s="1385" t="e">
        <v>#N/A</v>
      </c>
      <c r="E476" s="1385" t="e">
        <v>#N/A</v>
      </c>
      <c r="F476" s="1385" t="e">
        <f t="shared" si="0"/>
        <v>#N/A</v>
      </c>
      <c r="K476" s="1465">
        <v>42533</v>
      </c>
      <c r="L476" s="1466"/>
      <c r="M476" s="1467">
        <v>0</v>
      </c>
      <c r="N476" s="1468">
        <v>1.1792271306541042</v>
      </c>
      <c r="O476" s="1468">
        <v>1.1792271306541042</v>
      </c>
    </row>
    <row r="477" spans="2:15">
      <c r="B477" s="1384">
        <v>46935</v>
      </c>
      <c r="C477" s="1385" t="e">
        <v>#N/A</v>
      </c>
      <c r="D477" s="1385" t="e">
        <v>#N/A</v>
      </c>
      <c r="E477" s="1385" t="e">
        <v>#N/A</v>
      </c>
      <c r="F477" s="1385" t="e">
        <f t="shared" si="0"/>
        <v>#N/A</v>
      </c>
      <c r="K477" s="1465">
        <v>42534</v>
      </c>
      <c r="L477" s="1466" t="s">
        <v>2125</v>
      </c>
      <c r="M477" s="1467">
        <v>5.2531000000000001E-2</v>
      </c>
      <c r="N477" s="1468">
        <v>1.1798465904581081</v>
      </c>
      <c r="O477" s="1468">
        <v>1.1798465904581081</v>
      </c>
    </row>
    <row r="478" spans="2:15">
      <c r="B478" s="1384">
        <v>46966</v>
      </c>
      <c r="C478" s="1385" t="e">
        <v>#N/A</v>
      </c>
      <c r="D478" s="1385" t="e">
        <v>#N/A</v>
      </c>
      <c r="E478" s="1385" t="e">
        <v>#N/A</v>
      </c>
      <c r="F478" s="1385" t="e">
        <f t="shared" si="0"/>
        <v>#N/A</v>
      </c>
      <c r="K478" s="1465">
        <v>42535</v>
      </c>
      <c r="L478" s="1466" t="s">
        <v>2125</v>
      </c>
      <c r="M478" s="1467">
        <v>5.2531000000000001E-2</v>
      </c>
      <c r="N478" s="1468">
        <v>1.1804663756705416</v>
      </c>
      <c r="O478" s="1468">
        <v>1.1804663756705416</v>
      </c>
    </row>
    <row r="479" spans="2:15">
      <c r="B479" s="1384">
        <v>46997</v>
      </c>
      <c r="C479" s="1385" t="e">
        <v>#N/A</v>
      </c>
      <c r="D479" s="1385" t="e">
        <v>#N/A</v>
      </c>
      <c r="E479" s="1385" t="e">
        <v>#N/A</v>
      </c>
      <c r="F479" s="1385" t="e">
        <f t="shared" si="0"/>
        <v>#N/A</v>
      </c>
      <c r="K479" s="1465">
        <v>42536</v>
      </c>
      <c r="L479" s="1466" t="s">
        <v>2125</v>
      </c>
      <c r="M479" s="1467">
        <v>5.2531000000000001E-2</v>
      </c>
      <c r="N479" s="1468">
        <v>1.1810864864623452</v>
      </c>
      <c r="O479" s="1468">
        <v>1.1810864864623452</v>
      </c>
    </row>
    <row r="480" spans="2:15">
      <c r="B480" s="1384">
        <v>47027</v>
      </c>
      <c r="C480" s="1385" t="e">
        <v>#N/A</v>
      </c>
      <c r="D480" s="1385" t="e">
        <v>#N/A</v>
      </c>
      <c r="E480" s="1385" t="e">
        <v>#N/A</v>
      </c>
      <c r="F480" s="1385" t="e">
        <f t="shared" si="0"/>
        <v>#N/A</v>
      </c>
      <c r="K480" s="1465">
        <v>42537</v>
      </c>
      <c r="L480" s="1466" t="s">
        <v>2125</v>
      </c>
      <c r="M480" s="1467">
        <v>5.2531000000000001E-2</v>
      </c>
      <c r="N480" s="1468">
        <v>1.1817069230045487</v>
      </c>
      <c r="O480" s="1468">
        <v>1.1817069230045487</v>
      </c>
    </row>
    <row r="481" spans="2:15">
      <c r="B481" s="1384">
        <v>47058</v>
      </c>
      <c r="C481" s="1385" t="e">
        <v>#N/A</v>
      </c>
      <c r="D481" s="1385" t="e">
        <v>#N/A</v>
      </c>
      <c r="E481" s="1385" t="e">
        <v>#N/A</v>
      </c>
      <c r="F481" s="1385" t="e">
        <f t="shared" si="0"/>
        <v>#N/A</v>
      </c>
      <c r="K481" s="1465">
        <v>42538</v>
      </c>
      <c r="L481" s="1466" t="s">
        <v>2125</v>
      </c>
      <c r="M481" s="1467">
        <v>5.2531000000000001E-2</v>
      </c>
      <c r="N481" s="1468">
        <v>1.1823276854682723</v>
      </c>
      <c r="O481" s="1468">
        <v>1.1823276854682723</v>
      </c>
    </row>
    <row r="482" spans="2:15">
      <c r="B482" s="1384">
        <v>47088</v>
      </c>
      <c r="C482" s="1385" t="e">
        <v>#N/A</v>
      </c>
      <c r="D482" s="1385" t="e">
        <v>#N/A</v>
      </c>
      <c r="E482" s="1385" t="e">
        <v>#N/A</v>
      </c>
      <c r="F482" s="1385" t="e">
        <f t="shared" si="0"/>
        <v>#N/A</v>
      </c>
      <c r="K482" s="1465">
        <v>42539</v>
      </c>
      <c r="L482" s="1466"/>
      <c r="M482" s="1467">
        <v>0</v>
      </c>
      <c r="N482" s="1468">
        <v>1.1823276854682723</v>
      </c>
      <c r="O482" s="1468">
        <v>1.1823276854682723</v>
      </c>
    </row>
    <row r="483" spans="2:15">
      <c r="B483" s="1384">
        <v>47119</v>
      </c>
      <c r="C483" s="1385" t="e">
        <v>#N/A</v>
      </c>
      <c r="D483" s="1385" t="e">
        <v>#N/A</v>
      </c>
      <c r="E483" s="1385" t="e">
        <v>#N/A</v>
      </c>
      <c r="F483" s="1385" t="e">
        <f t="shared" si="0"/>
        <v>#N/A</v>
      </c>
      <c r="K483" s="1465">
        <v>42540</v>
      </c>
      <c r="L483" s="1466"/>
      <c r="M483" s="1467">
        <v>0</v>
      </c>
      <c r="N483" s="1468">
        <v>1.1823276854682723</v>
      </c>
      <c r="O483" s="1468">
        <v>1.1823276854682723</v>
      </c>
    </row>
    <row r="484" spans="2:15">
      <c r="B484" s="1384">
        <v>47150</v>
      </c>
      <c r="C484" s="1385" t="e">
        <v>#N/A</v>
      </c>
      <c r="D484" s="1385" t="e">
        <v>#N/A</v>
      </c>
      <c r="E484" s="1385" t="e">
        <v>#N/A</v>
      </c>
      <c r="F484" s="1385" t="e">
        <f t="shared" ref="F484:F500" si="1">F483*E484</f>
        <v>#N/A</v>
      </c>
      <c r="K484" s="1465">
        <v>42541</v>
      </c>
      <c r="L484" s="1466" t="s">
        <v>2125</v>
      </c>
      <c r="M484" s="1467">
        <v>5.2531000000000001E-2</v>
      </c>
      <c r="N484" s="1468">
        <v>1.1829487740247255</v>
      </c>
      <c r="O484" s="1468">
        <v>1.1829487740247255</v>
      </c>
    </row>
    <row r="485" spans="2:15">
      <c r="B485" s="1384">
        <v>47178</v>
      </c>
      <c r="C485" s="1385" t="e">
        <v>#N/A</v>
      </c>
      <c r="D485" s="1385" t="e">
        <v>#N/A</v>
      </c>
      <c r="E485" s="1385" t="e">
        <v>#N/A</v>
      </c>
      <c r="F485" s="1385" t="e">
        <f t="shared" si="1"/>
        <v>#N/A</v>
      </c>
      <c r="K485" s="1465">
        <v>42542</v>
      </c>
      <c r="L485" s="1466" t="s">
        <v>2125</v>
      </c>
      <c r="M485" s="1467">
        <v>5.2531000000000001E-2</v>
      </c>
      <c r="N485" s="1468">
        <v>1.1835701888452084</v>
      </c>
      <c r="O485" s="1468">
        <v>1.1835701888452084</v>
      </c>
    </row>
    <row r="486" spans="2:15">
      <c r="B486" s="1384">
        <v>47209</v>
      </c>
      <c r="C486" s="1385" t="e">
        <v>#N/A</v>
      </c>
      <c r="D486" s="1385" t="e">
        <v>#N/A</v>
      </c>
      <c r="E486" s="1385" t="e">
        <v>#N/A</v>
      </c>
      <c r="F486" s="1385" t="e">
        <f t="shared" si="1"/>
        <v>#N/A</v>
      </c>
      <c r="K486" s="1465">
        <v>42543</v>
      </c>
      <c r="L486" s="1466" t="s">
        <v>2125</v>
      </c>
      <c r="M486" s="1467">
        <v>5.2531000000000001E-2</v>
      </c>
      <c r="N486" s="1468">
        <v>1.1841919301011106</v>
      </c>
      <c r="O486" s="1468">
        <v>1.1841919301011106</v>
      </c>
    </row>
    <row r="487" spans="2:15">
      <c r="B487" s="1384">
        <v>47239</v>
      </c>
      <c r="C487" s="1385" t="e">
        <v>#N/A</v>
      </c>
      <c r="D487" s="1385" t="e">
        <v>#N/A</v>
      </c>
      <c r="E487" s="1385" t="e">
        <v>#N/A</v>
      </c>
      <c r="F487" s="1385" t="e">
        <f t="shared" si="1"/>
        <v>#N/A</v>
      </c>
      <c r="K487" s="1465">
        <v>42544</v>
      </c>
      <c r="L487" s="1466" t="s">
        <v>2125</v>
      </c>
      <c r="M487" s="1467">
        <v>5.2531000000000001E-2</v>
      </c>
      <c r="N487" s="1468">
        <v>1.1848139979639121</v>
      </c>
      <c r="O487" s="1468">
        <v>1.1848139979639121</v>
      </c>
    </row>
    <row r="488" spans="2:15">
      <c r="B488" s="1384">
        <v>47270</v>
      </c>
      <c r="C488" s="1385" t="e">
        <v>#N/A</v>
      </c>
      <c r="D488" s="1385" t="e">
        <v>#N/A</v>
      </c>
      <c r="E488" s="1385" t="e">
        <v>#N/A</v>
      </c>
      <c r="F488" s="1385" t="e">
        <f t="shared" si="1"/>
        <v>#N/A</v>
      </c>
      <c r="K488" s="1465">
        <v>42545</v>
      </c>
      <c r="L488" s="1466" t="s">
        <v>2125</v>
      </c>
      <c r="M488" s="1467">
        <v>5.2531000000000001E-2</v>
      </c>
      <c r="N488" s="1468">
        <v>1.1854363926051825</v>
      </c>
      <c r="O488" s="1468">
        <v>1.1854363926051825</v>
      </c>
    </row>
    <row r="489" spans="2:15">
      <c r="B489" s="1384">
        <v>47300</v>
      </c>
      <c r="C489" s="1385" t="e">
        <v>#N/A</v>
      </c>
      <c r="D489" s="1385" t="e">
        <v>#N/A</v>
      </c>
      <c r="E489" s="1385" t="e">
        <v>#N/A</v>
      </c>
      <c r="F489" s="1385" t="e">
        <f t="shared" si="1"/>
        <v>#N/A</v>
      </c>
      <c r="K489" s="1465">
        <v>42546</v>
      </c>
      <c r="L489" s="1466"/>
      <c r="M489" s="1467">
        <v>0</v>
      </c>
      <c r="N489" s="1468">
        <v>1.1854363926051825</v>
      </c>
      <c r="O489" s="1468">
        <v>1.1854363926051825</v>
      </c>
    </row>
    <row r="490" spans="2:15">
      <c r="B490" s="1384">
        <v>47331</v>
      </c>
      <c r="C490" s="1385" t="e">
        <v>#N/A</v>
      </c>
      <c r="D490" s="1385" t="e">
        <v>#N/A</v>
      </c>
      <c r="E490" s="1385" t="e">
        <v>#N/A</v>
      </c>
      <c r="F490" s="1385" t="e">
        <f t="shared" si="1"/>
        <v>#N/A</v>
      </c>
      <c r="K490" s="1465">
        <v>42547</v>
      </c>
      <c r="L490" s="1466"/>
      <c r="M490" s="1467">
        <v>0</v>
      </c>
      <c r="N490" s="1468">
        <v>1.1854363926051825</v>
      </c>
      <c r="O490" s="1468">
        <v>1.1854363926051825</v>
      </c>
    </row>
    <row r="491" spans="2:15">
      <c r="B491" s="1384">
        <v>47362</v>
      </c>
      <c r="C491" s="1385" t="e">
        <v>#N/A</v>
      </c>
      <c r="D491" s="1385" t="e">
        <v>#N/A</v>
      </c>
      <c r="E491" s="1385" t="e">
        <v>#N/A</v>
      </c>
      <c r="F491" s="1385" t="e">
        <f t="shared" si="1"/>
        <v>#N/A</v>
      </c>
      <c r="K491" s="1465">
        <v>42548</v>
      </c>
      <c r="L491" s="1466" t="s">
        <v>2125</v>
      </c>
      <c r="M491" s="1467">
        <v>5.2531000000000001E-2</v>
      </c>
      <c r="N491" s="1468">
        <v>1.1860591141965819</v>
      </c>
      <c r="O491" s="1468">
        <v>1.1860591141965819</v>
      </c>
    </row>
    <row r="492" spans="2:15">
      <c r="B492" s="1384">
        <v>47392</v>
      </c>
      <c r="C492" s="1385" t="e">
        <v>#N/A</v>
      </c>
      <c r="D492" s="1385" t="e">
        <v>#N/A</v>
      </c>
      <c r="E492" s="1385" t="e">
        <v>#N/A</v>
      </c>
      <c r="F492" s="1385" t="e">
        <f t="shared" si="1"/>
        <v>#N/A</v>
      </c>
      <c r="K492" s="1465">
        <v>42549</v>
      </c>
      <c r="L492" s="1466" t="s">
        <v>2125</v>
      </c>
      <c r="M492" s="1467">
        <v>5.2531000000000001E-2</v>
      </c>
      <c r="N492" s="1468">
        <v>1.1866821629098605</v>
      </c>
      <c r="O492" s="1468">
        <v>1.1866821629098605</v>
      </c>
    </row>
    <row r="493" spans="2:15">
      <c r="B493" s="1384">
        <v>47423</v>
      </c>
      <c r="C493" s="1385" t="e">
        <v>#N/A</v>
      </c>
      <c r="D493" s="1385" t="e">
        <v>#N/A</v>
      </c>
      <c r="E493" s="1385" t="e">
        <v>#N/A</v>
      </c>
      <c r="F493" s="1385" t="e">
        <f t="shared" si="1"/>
        <v>#N/A</v>
      </c>
      <c r="K493" s="1465">
        <v>42550</v>
      </c>
      <c r="L493" s="1466" t="s">
        <v>2125</v>
      </c>
      <c r="M493" s="1467">
        <v>5.2531000000000001E-2</v>
      </c>
      <c r="N493" s="1468">
        <v>1.1873055389168587</v>
      </c>
      <c r="O493" s="1468">
        <v>1.1873055389168587</v>
      </c>
    </row>
    <row r="494" spans="2:15">
      <c r="B494" s="1384">
        <v>47453</v>
      </c>
      <c r="C494" s="1385" t="e">
        <v>#N/A</v>
      </c>
      <c r="D494" s="1385" t="e">
        <v>#N/A</v>
      </c>
      <c r="E494" s="1385" t="e">
        <v>#N/A</v>
      </c>
      <c r="F494" s="1385" t="e">
        <f t="shared" si="1"/>
        <v>#N/A</v>
      </c>
      <c r="K494" s="1465">
        <v>42551</v>
      </c>
      <c r="L494" s="1466" t="s">
        <v>2125</v>
      </c>
      <c r="M494" s="1467">
        <v>5.2531000000000001E-2</v>
      </c>
      <c r="N494" s="1468">
        <v>1.1879292423895071</v>
      </c>
      <c r="O494" s="1468">
        <v>1.1879292423895071</v>
      </c>
    </row>
    <row r="495" spans="2:15">
      <c r="B495" s="1384">
        <v>47484</v>
      </c>
      <c r="C495" s="1385" t="e">
        <v>#N/A</v>
      </c>
      <c r="D495" s="1385" t="e">
        <v>#N/A</v>
      </c>
      <c r="E495" s="1385" t="e">
        <v>#N/A</v>
      </c>
      <c r="F495" s="1385" t="e">
        <f t="shared" si="1"/>
        <v>#N/A</v>
      </c>
      <c r="K495" s="1465">
        <v>42552</v>
      </c>
      <c r="L495" s="1466" t="s">
        <v>2125</v>
      </c>
      <c r="M495" s="1467">
        <v>5.2531000000000001E-2</v>
      </c>
      <c r="N495" s="1468">
        <v>1.1885532734998268</v>
      </c>
      <c r="O495" s="1468">
        <v>1.1885532734998268</v>
      </c>
    </row>
    <row r="496" spans="2:15">
      <c r="B496" s="1384">
        <v>47515</v>
      </c>
      <c r="C496" s="1385" t="e">
        <v>#N/A</v>
      </c>
      <c r="D496" s="1385" t="e">
        <v>#N/A</v>
      </c>
      <c r="E496" s="1385" t="e">
        <v>#N/A</v>
      </c>
      <c r="F496" s="1385" t="e">
        <f t="shared" si="1"/>
        <v>#N/A</v>
      </c>
      <c r="K496" s="1465">
        <v>42553</v>
      </c>
      <c r="L496" s="1466"/>
      <c r="M496" s="1467">
        <v>0</v>
      </c>
      <c r="N496" s="1468">
        <v>1.1885532734998268</v>
      </c>
      <c r="O496" s="1468">
        <v>1.1885532734998268</v>
      </c>
    </row>
    <row r="497" spans="2:15">
      <c r="B497" s="1384">
        <v>47543</v>
      </c>
      <c r="C497" s="1385" t="e">
        <v>#N/A</v>
      </c>
      <c r="D497" s="1385" t="e">
        <v>#N/A</v>
      </c>
      <c r="E497" s="1385" t="e">
        <v>#N/A</v>
      </c>
      <c r="F497" s="1385" t="e">
        <f t="shared" si="1"/>
        <v>#N/A</v>
      </c>
      <c r="K497" s="1465">
        <v>42554</v>
      </c>
      <c r="L497" s="1466"/>
      <c r="M497" s="1467">
        <v>0</v>
      </c>
      <c r="N497" s="1468">
        <v>1.1885532734998268</v>
      </c>
      <c r="O497" s="1468">
        <v>1.1885532734998268</v>
      </c>
    </row>
    <row r="498" spans="2:15">
      <c r="B498" s="1384">
        <v>47574</v>
      </c>
      <c r="C498" s="1385" t="e">
        <v>#N/A</v>
      </c>
      <c r="D498" s="1385" t="e">
        <v>#N/A</v>
      </c>
      <c r="E498" s="1385" t="e">
        <v>#N/A</v>
      </c>
      <c r="F498" s="1385" t="e">
        <f t="shared" si="1"/>
        <v>#N/A</v>
      </c>
      <c r="K498" s="1465">
        <v>42555</v>
      </c>
      <c r="L498" s="1466" t="s">
        <v>2125</v>
      </c>
      <c r="M498" s="1467">
        <v>5.2531000000000001E-2</v>
      </c>
      <c r="N498" s="1468">
        <v>1.189177632419929</v>
      </c>
      <c r="O498" s="1468">
        <v>1.189177632419929</v>
      </c>
    </row>
    <row r="499" spans="2:15">
      <c r="B499" s="1384">
        <v>47604</v>
      </c>
      <c r="C499" s="1385" t="e">
        <v>#N/A</v>
      </c>
      <c r="D499" s="1385" t="e">
        <v>#N/A</v>
      </c>
      <c r="E499" s="1385" t="e">
        <v>#N/A</v>
      </c>
      <c r="F499" s="1385" t="e">
        <f t="shared" si="1"/>
        <v>#N/A</v>
      </c>
      <c r="K499" s="1465">
        <v>42556</v>
      </c>
      <c r="L499" s="1466" t="s">
        <v>2125</v>
      </c>
      <c r="M499" s="1467">
        <v>5.2531000000000001E-2</v>
      </c>
      <c r="N499" s="1468">
        <v>1.1898023193220155</v>
      </c>
      <c r="O499" s="1468">
        <v>1.1898023193220155</v>
      </c>
    </row>
    <row r="500" spans="2:15">
      <c r="B500" s="1384">
        <v>47635</v>
      </c>
      <c r="C500" s="1385" t="e">
        <v>#N/A</v>
      </c>
      <c r="D500" s="1385" t="e">
        <v>#N/A</v>
      </c>
      <c r="E500" s="1385" t="e">
        <v>#N/A</v>
      </c>
      <c r="F500" s="1385" t="e">
        <f t="shared" si="1"/>
        <v>#N/A</v>
      </c>
      <c r="K500" s="1465">
        <v>42557</v>
      </c>
      <c r="L500" s="1466" t="s">
        <v>2125</v>
      </c>
      <c r="M500" s="1467">
        <v>5.2531000000000001E-2</v>
      </c>
      <c r="N500" s="1468">
        <v>1.1904273343783787</v>
      </c>
      <c r="O500" s="1468">
        <v>1.1904273343783787</v>
      </c>
    </row>
    <row r="501" spans="2:15">
      <c r="K501" s="1465">
        <v>42558</v>
      </c>
      <c r="L501" s="1466" t="s">
        <v>2125</v>
      </c>
      <c r="M501" s="1467">
        <v>5.2531000000000001E-2</v>
      </c>
      <c r="N501" s="1468">
        <v>1.191052677761401</v>
      </c>
      <c r="O501" s="1468">
        <v>1.191052677761401</v>
      </c>
    </row>
    <row r="502" spans="2:15">
      <c r="K502" s="1465">
        <v>42559</v>
      </c>
      <c r="L502" s="1466" t="s">
        <v>2125</v>
      </c>
      <c r="M502" s="1467">
        <v>5.2531000000000001E-2</v>
      </c>
      <c r="N502" s="1468">
        <v>1.1916783496435559</v>
      </c>
      <c r="O502" s="1468">
        <v>1.1916783496435559</v>
      </c>
    </row>
    <row r="503" spans="2:15">
      <c r="K503" s="1465">
        <v>42560</v>
      </c>
      <c r="L503" s="1466"/>
      <c r="M503" s="1467">
        <v>0</v>
      </c>
      <c r="N503" s="1468">
        <v>1.1916783496435559</v>
      </c>
      <c r="O503" s="1468">
        <v>1.1916783496435559</v>
      </c>
    </row>
    <row r="504" spans="2:15">
      <c r="K504" s="1465">
        <v>42561</v>
      </c>
      <c r="L504" s="1466"/>
      <c r="M504" s="1467">
        <v>0</v>
      </c>
      <c r="N504" s="1468">
        <v>1.1916783496435559</v>
      </c>
      <c r="O504" s="1468">
        <v>1.1916783496435559</v>
      </c>
    </row>
    <row r="505" spans="2:15">
      <c r="K505" s="1465">
        <v>42562</v>
      </c>
      <c r="L505" s="1466" t="s">
        <v>2125</v>
      </c>
      <c r="M505" s="1467">
        <v>5.2531000000000001E-2</v>
      </c>
      <c r="N505" s="1468">
        <v>1.1923043501974071</v>
      </c>
      <c r="O505" s="1468">
        <v>1.1923043501974071</v>
      </c>
    </row>
    <row r="506" spans="2:15">
      <c r="K506" s="1465">
        <v>42563</v>
      </c>
      <c r="L506" s="1466" t="s">
        <v>2125</v>
      </c>
      <c r="M506" s="1467">
        <v>5.2531000000000001E-2</v>
      </c>
      <c r="N506" s="1468">
        <v>1.1929306795956094</v>
      </c>
      <c r="O506" s="1468">
        <v>1.1929306795956094</v>
      </c>
    </row>
    <row r="507" spans="2:15">
      <c r="K507" s="1465">
        <v>42564</v>
      </c>
      <c r="L507" s="1466" t="s">
        <v>2125</v>
      </c>
      <c r="M507" s="1467">
        <v>5.2531000000000001E-2</v>
      </c>
      <c r="N507" s="1468">
        <v>1.1935573380109077</v>
      </c>
      <c r="O507" s="1468">
        <v>1.1935573380109077</v>
      </c>
    </row>
    <row r="508" spans="2:15">
      <c r="K508" s="1465">
        <v>42565</v>
      </c>
      <c r="L508" s="1466" t="s">
        <v>2125</v>
      </c>
      <c r="M508" s="1467">
        <v>5.2531000000000001E-2</v>
      </c>
      <c r="N508" s="1468">
        <v>1.1941843256161382</v>
      </c>
      <c r="O508" s="1468">
        <v>1.1941843256161382</v>
      </c>
    </row>
    <row r="509" spans="2:15">
      <c r="K509" s="1465">
        <v>42566</v>
      </c>
      <c r="L509" s="1466" t="s">
        <v>2125</v>
      </c>
      <c r="M509" s="1467">
        <v>5.2531000000000001E-2</v>
      </c>
      <c r="N509" s="1468">
        <v>1.1948116425842277</v>
      </c>
      <c r="O509" s="1468">
        <v>1.1948116425842277</v>
      </c>
    </row>
    <row r="510" spans="2:15">
      <c r="K510" s="1465">
        <v>42567</v>
      </c>
      <c r="L510" s="1466"/>
      <c r="M510" s="1467">
        <v>0</v>
      </c>
      <c r="N510" s="1468">
        <v>1.1948116425842277</v>
      </c>
      <c r="O510" s="1468">
        <v>1.1948116425842277</v>
      </c>
    </row>
    <row r="511" spans="2:15">
      <c r="K511" s="1465">
        <v>42568</v>
      </c>
      <c r="L511" s="1466"/>
      <c r="M511" s="1467">
        <v>0</v>
      </c>
      <c r="N511" s="1468">
        <v>1.1948116425842277</v>
      </c>
      <c r="O511" s="1468">
        <v>1.1948116425842277</v>
      </c>
    </row>
    <row r="512" spans="2:15">
      <c r="K512" s="1465">
        <v>42569</v>
      </c>
      <c r="L512" s="1466" t="s">
        <v>2125</v>
      </c>
      <c r="M512" s="1467">
        <v>5.2531000000000001E-2</v>
      </c>
      <c r="N512" s="1468">
        <v>1.1954392890881935</v>
      </c>
      <c r="O512" s="1468">
        <v>1.1954392890881935</v>
      </c>
    </row>
    <row r="513" spans="11:15">
      <c r="K513" s="1465">
        <v>42570</v>
      </c>
      <c r="L513" s="1466" t="s">
        <v>2125</v>
      </c>
      <c r="M513" s="1467">
        <v>5.2531000000000001E-2</v>
      </c>
      <c r="N513" s="1468">
        <v>1.1960672653011444</v>
      </c>
      <c r="O513" s="1468">
        <v>1.1960672653011444</v>
      </c>
    </row>
    <row r="514" spans="11:15">
      <c r="K514" s="1465">
        <v>42571</v>
      </c>
      <c r="L514" s="1466" t="s">
        <v>2125</v>
      </c>
      <c r="M514" s="1467">
        <v>5.2531000000000001E-2</v>
      </c>
      <c r="N514" s="1468">
        <v>1.1966955713962797</v>
      </c>
      <c r="O514" s="1468">
        <v>1.1966955713962797</v>
      </c>
    </row>
    <row r="515" spans="11:15">
      <c r="K515" s="1465">
        <v>42572</v>
      </c>
      <c r="L515" s="1466" t="s">
        <v>2125</v>
      </c>
      <c r="M515" s="1467">
        <v>5.2531000000000001E-2</v>
      </c>
      <c r="N515" s="1468">
        <v>1.19732420754689</v>
      </c>
      <c r="O515" s="1468">
        <v>1.19732420754689</v>
      </c>
    </row>
    <row r="516" spans="11:15">
      <c r="K516" s="1465">
        <v>42573</v>
      </c>
      <c r="L516" s="1466" t="s">
        <v>2125</v>
      </c>
      <c r="M516" s="1467">
        <v>5.2531000000000001E-2</v>
      </c>
      <c r="N516" s="1468">
        <v>1.1979531739263565</v>
      </c>
      <c r="O516" s="1468">
        <v>1.1979531739263565</v>
      </c>
    </row>
    <row r="517" spans="11:15">
      <c r="K517" s="1465">
        <v>42574</v>
      </c>
      <c r="L517" s="1466"/>
      <c r="M517" s="1467">
        <v>0</v>
      </c>
      <c r="N517" s="1468">
        <v>1.1979531739263565</v>
      </c>
      <c r="O517" s="1468">
        <v>1.1979531739263565</v>
      </c>
    </row>
    <row r="518" spans="11:15">
      <c r="K518" s="1465">
        <v>42575</v>
      </c>
      <c r="L518" s="1466"/>
      <c r="M518" s="1467">
        <v>0</v>
      </c>
      <c r="N518" s="1468">
        <v>1.1979531739263565</v>
      </c>
      <c r="O518" s="1468">
        <v>1.1979531739263565</v>
      </c>
    </row>
    <row r="519" spans="11:15">
      <c r="K519" s="1465">
        <v>42576</v>
      </c>
      <c r="L519" s="1466" t="s">
        <v>2125</v>
      </c>
      <c r="M519" s="1467">
        <v>5.2531000000000001E-2</v>
      </c>
      <c r="N519" s="1468">
        <v>1.1985824707081518</v>
      </c>
      <c r="O519" s="1468">
        <v>1.1985824707081518</v>
      </c>
    </row>
    <row r="520" spans="11:15">
      <c r="K520" s="1465">
        <v>42577</v>
      </c>
      <c r="L520" s="1466" t="s">
        <v>2125</v>
      </c>
      <c r="M520" s="1467">
        <v>5.2531000000000001E-2</v>
      </c>
      <c r="N520" s="1468">
        <v>1.1992120980658396</v>
      </c>
      <c r="O520" s="1468">
        <v>1.1992120980658396</v>
      </c>
    </row>
    <row r="521" spans="11:15">
      <c r="K521" s="1465">
        <v>42578</v>
      </c>
      <c r="L521" s="1466" t="s">
        <v>2125</v>
      </c>
      <c r="M521" s="1467">
        <v>5.2531000000000001E-2</v>
      </c>
      <c r="N521" s="1468">
        <v>1.1998420561730745</v>
      </c>
      <c r="O521" s="1468">
        <v>1.1998420561730745</v>
      </c>
    </row>
    <row r="522" spans="11:15">
      <c r="K522" s="1465">
        <v>42579</v>
      </c>
      <c r="L522" s="1466" t="s">
        <v>2125</v>
      </c>
      <c r="M522" s="1467">
        <v>5.2531000000000001E-2</v>
      </c>
      <c r="N522" s="1468">
        <v>1.2004723452036028</v>
      </c>
      <c r="O522" s="1468">
        <v>1.2004723452036028</v>
      </c>
    </row>
    <row r="523" spans="11:15">
      <c r="K523" s="1465">
        <v>42580</v>
      </c>
      <c r="L523" s="1466" t="s">
        <v>2125</v>
      </c>
      <c r="M523" s="1467">
        <v>5.2531000000000001E-2</v>
      </c>
      <c r="N523" s="1468">
        <v>1.2011029653312617</v>
      </c>
      <c r="O523" s="1468">
        <v>1.2011029653312617</v>
      </c>
    </row>
    <row r="524" spans="11:15">
      <c r="K524" s="1465">
        <v>42581</v>
      </c>
      <c r="L524" s="1466"/>
      <c r="M524" s="1467">
        <v>0</v>
      </c>
      <c r="N524" s="1468">
        <v>1.2011029653312617</v>
      </c>
      <c r="O524" s="1468">
        <v>1.2011029653312617</v>
      </c>
    </row>
    <row r="525" spans="11:15">
      <c r="K525" s="1465">
        <v>42582</v>
      </c>
      <c r="L525" s="1466"/>
      <c r="M525" s="1467">
        <v>0</v>
      </c>
      <c r="N525" s="1468">
        <v>1.2011029653312617</v>
      </c>
      <c r="O525" s="1468">
        <v>1.2011029653312617</v>
      </c>
    </row>
    <row r="526" spans="11:15">
      <c r="K526" s="1465">
        <v>42583</v>
      </c>
      <c r="L526" s="1466" t="s">
        <v>2125</v>
      </c>
      <c r="M526" s="1467">
        <v>5.2531000000000001E-2</v>
      </c>
      <c r="N526" s="1468">
        <v>1.2017339167299799</v>
      </c>
      <c r="O526" s="1468">
        <v>1.2017339167299799</v>
      </c>
    </row>
    <row r="527" spans="11:15">
      <c r="K527" s="1465">
        <v>42584</v>
      </c>
      <c r="L527" s="1466" t="s">
        <v>2125</v>
      </c>
      <c r="M527" s="1467">
        <v>5.2531000000000001E-2</v>
      </c>
      <c r="N527" s="1468">
        <v>1.2023651995737772</v>
      </c>
      <c r="O527" s="1468">
        <v>1.2023651995737772</v>
      </c>
    </row>
    <row r="528" spans="11:15">
      <c r="K528" s="1465">
        <v>42585</v>
      </c>
      <c r="L528" s="1466" t="s">
        <v>2125</v>
      </c>
      <c r="M528" s="1467">
        <v>5.2531000000000001E-2</v>
      </c>
      <c r="N528" s="1468">
        <v>1.2029968140367653</v>
      </c>
      <c r="O528" s="1468">
        <v>1.2029968140367653</v>
      </c>
    </row>
    <row r="529" spans="11:15">
      <c r="K529" s="1465">
        <v>42586</v>
      </c>
      <c r="L529" s="1466" t="s">
        <v>2125</v>
      </c>
      <c r="M529" s="1467">
        <v>5.2531000000000001E-2</v>
      </c>
      <c r="N529" s="1468">
        <v>1.203628760293147</v>
      </c>
      <c r="O529" s="1468">
        <v>1.203628760293147</v>
      </c>
    </row>
    <row r="530" spans="11:15">
      <c r="K530" s="1465">
        <v>42587</v>
      </c>
      <c r="L530" s="1466" t="s">
        <v>2125</v>
      </c>
      <c r="M530" s="1467">
        <v>5.2531000000000001E-2</v>
      </c>
      <c r="N530" s="1468">
        <v>1.2042610385172166</v>
      </c>
      <c r="O530" s="1468">
        <v>1.2042610385172166</v>
      </c>
    </row>
    <row r="531" spans="11:15">
      <c r="K531" s="1465">
        <v>42588</v>
      </c>
      <c r="L531" s="1466"/>
      <c r="M531" s="1467">
        <v>0</v>
      </c>
      <c r="N531" s="1468">
        <v>1.2042610385172166</v>
      </c>
      <c r="O531" s="1468">
        <v>1.2042610385172166</v>
      </c>
    </row>
    <row r="532" spans="11:15">
      <c r="K532" s="1465">
        <v>42589</v>
      </c>
      <c r="L532" s="1466"/>
      <c r="M532" s="1467">
        <v>0</v>
      </c>
      <c r="N532" s="1468">
        <v>1.2042610385172166</v>
      </c>
      <c r="O532" s="1468">
        <v>1.2042610385172166</v>
      </c>
    </row>
    <row r="533" spans="11:15">
      <c r="K533" s="1465">
        <v>42590</v>
      </c>
      <c r="L533" s="1466" t="s">
        <v>2125</v>
      </c>
      <c r="M533" s="1467">
        <v>5.2531000000000001E-2</v>
      </c>
      <c r="N533" s="1468">
        <v>1.2048936488833599</v>
      </c>
      <c r="O533" s="1468">
        <v>1.2048936488833599</v>
      </c>
    </row>
    <row r="534" spans="11:15">
      <c r="K534" s="1465">
        <v>42591</v>
      </c>
      <c r="L534" s="1466" t="s">
        <v>2125</v>
      </c>
      <c r="M534" s="1467">
        <v>5.2531000000000001E-2</v>
      </c>
      <c r="N534" s="1468">
        <v>1.2055265915660549</v>
      </c>
      <c r="O534" s="1468">
        <v>1.2055265915660549</v>
      </c>
    </row>
    <row r="535" spans="11:15">
      <c r="K535" s="1465">
        <v>42592</v>
      </c>
      <c r="L535" s="1466" t="s">
        <v>2125</v>
      </c>
      <c r="M535" s="1467">
        <v>5.2531000000000001E-2</v>
      </c>
      <c r="N535" s="1468">
        <v>1.2061598667398705</v>
      </c>
      <c r="O535" s="1468">
        <v>1.2061598667398705</v>
      </c>
    </row>
    <row r="536" spans="11:15">
      <c r="K536" s="1465">
        <v>42593</v>
      </c>
      <c r="L536" s="1466" t="s">
        <v>2125</v>
      </c>
      <c r="M536" s="1467">
        <v>5.2531000000000001E-2</v>
      </c>
      <c r="N536" s="1468">
        <v>1.2067934745794677</v>
      </c>
      <c r="O536" s="1468">
        <v>1.2067934745794677</v>
      </c>
    </row>
    <row r="537" spans="11:15">
      <c r="K537" s="1465">
        <v>42594</v>
      </c>
      <c r="L537" s="1466" t="s">
        <v>2125</v>
      </c>
      <c r="M537" s="1467">
        <v>5.2531000000000001E-2</v>
      </c>
      <c r="N537" s="1468">
        <v>1.2074274152595992</v>
      </c>
      <c r="O537" s="1468">
        <v>1.2074274152595992</v>
      </c>
    </row>
    <row r="538" spans="11:15">
      <c r="K538" s="1465">
        <v>42595</v>
      </c>
      <c r="L538" s="1466"/>
      <c r="M538" s="1467">
        <v>0</v>
      </c>
      <c r="N538" s="1468">
        <v>1.2074274152595992</v>
      </c>
      <c r="O538" s="1468">
        <v>1.2074274152595992</v>
      </c>
    </row>
    <row r="539" spans="11:15">
      <c r="K539" s="1465">
        <v>42596</v>
      </c>
      <c r="L539" s="1466"/>
      <c r="M539" s="1467">
        <v>0</v>
      </c>
      <c r="N539" s="1468">
        <v>1.2074274152595992</v>
      </c>
      <c r="O539" s="1468">
        <v>1.2074274152595992</v>
      </c>
    </row>
    <row r="540" spans="11:15">
      <c r="K540" s="1465">
        <v>42597</v>
      </c>
      <c r="L540" s="1466" t="s">
        <v>2125</v>
      </c>
      <c r="M540" s="1467">
        <v>5.2531000000000001E-2</v>
      </c>
      <c r="N540" s="1468">
        <v>1.2080616889551092</v>
      </c>
      <c r="O540" s="1468">
        <v>1.2080616889551092</v>
      </c>
    </row>
    <row r="541" spans="11:15">
      <c r="K541" s="1465">
        <v>42598</v>
      </c>
      <c r="L541" s="1466" t="s">
        <v>2125</v>
      </c>
      <c r="M541" s="1467">
        <v>5.2531000000000001E-2</v>
      </c>
      <c r="N541" s="1468">
        <v>1.2086962958409342</v>
      </c>
      <c r="O541" s="1468">
        <v>1.2086962958409342</v>
      </c>
    </row>
    <row r="542" spans="11:15">
      <c r="K542" s="1465">
        <v>42599</v>
      </c>
      <c r="L542" s="1466" t="s">
        <v>2125</v>
      </c>
      <c r="M542" s="1467">
        <v>5.2531000000000001E-2</v>
      </c>
      <c r="N542" s="1468">
        <v>1.2093312360921025</v>
      </c>
      <c r="O542" s="1468">
        <v>1.2093312360921025</v>
      </c>
    </row>
    <row r="543" spans="11:15">
      <c r="K543" s="1465">
        <v>42600</v>
      </c>
      <c r="L543" s="1466" t="s">
        <v>2125</v>
      </c>
      <c r="M543" s="1467">
        <v>5.2531000000000001E-2</v>
      </c>
      <c r="N543" s="1468">
        <v>1.209966509883734</v>
      </c>
      <c r="O543" s="1468">
        <v>1.209966509883734</v>
      </c>
    </row>
    <row r="544" spans="11:15">
      <c r="K544" s="1465">
        <v>42601</v>
      </c>
      <c r="L544" s="1466" t="s">
        <v>2125</v>
      </c>
      <c r="M544" s="1467">
        <v>5.2531000000000001E-2</v>
      </c>
      <c r="N544" s="1468">
        <v>1.2106021173910411</v>
      </c>
      <c r="O544" s="1468">
        <v>1.2106021173910411</v>
      </c>
    </row>
    <row r="545" spans="11:15">
      <c r="K545" s="1465">
        <v>42602</v>
      </c>
      <c r="L545" s="1466"/>
      <c r="M545" s="1467">
        <v>0</v>
      </c>
      <c r="N545" s="1468">
        <v>1.2106021173910411</v>
      </c>
      <c r="O545" s="1468">
        <v>1.2106021173910411</v>
      </c>
    </row>
    <row r="546" spans="11:15">
      <c r="K546" s="1465">
        <v>42603</v>
      </c>
      <c r="L546" s="1466"/>
      <c r="M546" s="1467">
        <v>0</v>
      </c>
      <c r="N546" s="1468">
        <v>1.2106021173910411</v>
      </c>
      <c r="O546" s="1468">
        <v>1.2106021173910411</v>
      </c>
    </row>
    <row r="547" spans="11:15">
      <c r="K547" s="1465">
        <v>42604</v>
      </c>
      <c r="L547" s="1466" t="s">
        <v>2125</v>
      </c>
      <c r="M547" s="1467">
        <v>5.2531000000000001E-2</v>
      </c>
      <c r="N547" s="1468">
        <v>1.2112380587893277</v>
      </c>
      <c r="O547" s="1468">
        <v>1.2112380587893277</v>
      </c>
    </row>
    <row r="548" spans="11:15">
      <c r="K548" s="1465">
        <v>42605</v>
      </c>
      <c r="L548" s="1466" t="s">
        <v>2125</v>
      </c>
      <c r="M548" s="1467">
        <v>5.2531000000000001E-2</v>
      </c>
      <c r="N548" s="1468">
        <v>1.2118743342539904</v>
      </c>
      <c r="O548" s="1468">
        <v>1.2118743342539904</v>
      </c>
    </row>
    <row r="549" spans="11:15">
      <c r="K549" s="1465">
        <v>42606</v>
      </c>
      <c r="L549" s="1466" t="s">
        <v>2125</v>
      </c>
      <c r="M549" s="1467">
        <v>5.2531000000000001E-2</v>
      </c>
      <c r="N549" s="1468">
        <v>1.2125109439605173</v>
      </c>
      <c r="O549" s="1468">
        <v>1.2125109439605173</v>
      </c>
    </row>
    <row r="550" spans="11:15">
      <c r="K550" s="1465">
        <v>42607</v>
      </c>
      <c r="L550" s="1466" t="s">
        <v>2125</v>
      </c>
      <c r="M550" s="1467">
        <v>5.2531000000000001E-2</v>
      </c>
      <c r="N550" s="1468">
        <v>1.2131478880844893</v>
      </c>
      <c r="O550" s="1468">
        <v>1.2131478880844893</v>
      </c>
    </row>
    <row r="551" spans="11:15">
      <c r="K551" s="1465">
        <v>42608</v>
      </c>
      <c r="L551" s="1466" t="s">
        <v>2125</v>
      </c>
      <c r="M551" s="1467">
        <v>5.2531000000000001E-2</v>
      </c>
      <c r="N551" s="1468">
        <v>1.2137851668015789</v>
      </c>
      <c r="O551" s="1468">
        <v>1.2137851668015789</v>
      </c>
    </row>
    <row r="552" spans="11:15">
      <c r="K552" s="1465">
        <v>42609</v>
      </c>
      <c r="L552" s="1466"/>
      <c r="M552" s="1467">
        <v>0</v>
      </c>
      <c r="N552" s="1468">
        <v>1.2137851668015789</v>
      </c>
      <c r="O552" s="1468">
        <v>1.2137851668015789</v>
      </c>
    </row>
    <row r="553" spans="11:15">
      <c r="K553" s="1465">
        <v>42610</v>
      </c>
      <c r="L553" s="1466"/>
      <c r="M553" s="1467">
        <v>0</v>
      </c>
      <c r="N553" s="1468">
        <v>1.2137851668015789</v>
      </c>
      <c r="O553" s="1468">
        <v>1.2137851668015789</v>
      </c>
    </row>
    <row r="554" spans="11:15">
      <c r="K554" s="1465">
        <v>42611</v>
      </c>
      <c r="L554" s="1466" t="s">
        <v>2125</v>
      </c>
      <c r="M554" s="1467">
        <v>5.2531000000000001E-2</v>
      </c>
      <c r="N554" s="1468">
        <v>1.2144227802875514</v>
      </c>
      <c r="O554" s="1468">
        <v>1.2144227802875514</v>
      </c>
    </row>
    <row r="555" spans="11:15">
      <c r="K555" s="1465">
        <v>42612</v>
      </c>
      <c r="L555" s="1466" t="s">
        <v>2125</v>
      </c>
      <c r="M555" s="1467">
        <v>5.2531000000000001E-2</v>
      </c>
      <c r="N555" s="1468">
        <v>1.2150607287182642</v>
      </c>
      <c r="O555" s="1468">
        <v>1.2150607287182642</v>
      </c>
    </row>
    <row r="556" spans="11:15">
      <c r="K556" s="1465">
        <v>42613</v>
      </c>
      <c r="L556" s="1466" t="s">
        <v>2125</v>
      </c>
      <c r="M556" s="1467">
        <v>5.2531000000000001E-2</v>
      </c>
      <c r="N556" s="1468">
        <v>1.2156990122696671</v>
      </c>
      <c r="O556" s="1468">
        <v>1.2156990122696671</v>
      </c>
    </row>
    <row r="557" spans="11:15">
      <c r="K557" s="1465">
        <v>42614</v>
      </c>
      <c r="L557" s="1466" t="s">
        <v>2125</v>
      </c>
      <c r="M557" s="1467">
        <v>5.2531000000000001E-2</v>
      </c>
      <c r="N557" s="1468">
        <v>1.2163376311178025</v>
      </c>
      <c r="O557" s="1468">
        <v>1.2163376311178025</v>
      </c>
    </row>
    <row r="558" spans="11:15">
      <c r="K558" s="1465">
        <v>42615</v>
      </c>
      <c r="L558" s="1466" t="s">
        <v>2125</v>
      </c>
      <c r="M558" s="1467">
        <v>5.2531000000000001E-2</v>
      </c>
      <c r="N558" s="1468">
        <v>1.216976585438805</v>
      </c>
      <c r="O558" s="1468">
        <v>1.216976585438805</v>
      </c>
    </row>
    <row r="559" spans="11:15">
      <c r="K559" s="1465">
        <v>42616</v>
      </c>
      <c r="L559" s="1466"/>
      <c r="M559" s="1467">
        <v>0</v>
      </c>
      <c r="N559" s="1468">
        <v>1.216976585438805</v>
      </c>
      <c r="O559" s="1468">
        <v>1.216976585438805</v>
      </c>
    </row>
    <row r="560" spans="11:15">
      <c r="K560" s="1465">
        <v>42617</v>
      </c>
      <c r="L560" s="1466"/>
      <c r="M560" s="1467">
        <v>0</v>
      </c>
      <c r="N560" s="1468">
        <v>1.216976585438805</v>
      </c>
      <c r="O560" s="1468">
        <v>1.216976585438805</v>
      </c>
    </row>
    <row r="561" spans="11:15">
      <c r="K561" s="1465">
        <v>42618</v>
      </c>
      <c r="L561" s="1466" t="s">
        <v>2125</v>
      </c>
      <c r="M561" s="1467">
        <v>5.2531000000000001E-2</v>
      </c>
      <c r="N561" s="1468">
        <v>1.2176158754089019</v>
      </c>
      <c r="O561" s="1468">
        <v>1.2176158754089019</v>
      </c>
    </row>
    <row r="562" spans="11:15">
      <c r="K562" s="1465">
        <v>42619</v>
      </c>
      <c r="L562" s="1466" t="s">
        <v>2125</v>
      </c>
      <c r="M562" s="1467">
        <v>5.2531000000000001E-2</v>
      </c>
      <c r="N562" s="1468">
        <v>1.2182555012044129</v>
      </c>
      <c r="O562" s="1468">
        <v>1.2182555012044129</v>
      </c>
    </row>
    <row r="563" spans="11:15">
      <c r="K563" s="1465">
        <v>42620</v>
      </c>
      <c r="L563" s="1466"/>
      <c r="M563" s="1467">
        <v>0</v>
      </c>
      <c r="N563" s="1468">
        <v>1.2182555012044129</v>
      </c>
      <c r="O563" s="1468">
        <v>1.2182555012044129</v>
      </c>
    </row>
    <row r="564" spans="11:15">
      <c r="K564" s="1465">
        <v>42621</v>
      </c>
      <c r="L564" s="1466" t="s">
        <v>2125</v>
      </c>
      <c r="M564" s="1467">
        <v>5.2531000000000001E-2</v>
      </c>
      <c r="N564" s="1468">
        <v>1.2188954630017506</v>
      </c>
      <c r="O564" s="1468">
        <v>1.2188954630017506</v>
      </c>
    </row>
    <row r="565" spans="11:15">
      <c r="K565" s="1465">
        <v>42622</v>
      </c>
      <c r="L565" s="1466" t="s">
        <v>2125</v>
      </c>
      <c r="M565" s="1467">
        <v>5.2531000000000001E-2</v>
      </c>
      <c r="N565" s="1468">
        <v>1.21953576097742</v>
      </c>
      <c r="O565" s="1468">
        <v>1.21953576097742</v>
      </c>
    </row>
    <row r="566" spans="11:15">
      <c r="K566" s="1465">
        <v>42623</v>
      </c>
      <c r="L566" s="1466"/>
      <c r="M566" s="1467">
        <v>0</v>
      </c>
      <c r="N566" s="1468">
        <v>1.21953576097742</v>
      </c>
      <c r="O566" s="1468">
        <v>1.21953576097742</v>
      </c>
    </row>
    <row r="567" spans="11:15">
      <c r="K567" s="1465">
        <v>42624</v>
      </c>
      <c r="L567" s="1466"/>
      <c r="M567" s="1467">
        <v>0</v>
      </c>
      <c r="N567" s="1468">
        <v>1.21953576097742</v>
      </c>
      <c r="O567" s="1468">
        <v>1.21953576097742</v>
      </c>
    </row>
    <row r="568" spans="11:15">
      <c r="K568" s="1465">
        <v>42625</v>
      </c>
      <c r="L568" s="1466" t="s">
        <v>2125</v>
      </c>
      <c r="M568" s="1467">
        <v>5.2531000000000001E-2</v>
      </c>
      <c r="N568" s="1468">
        <v>1.2201763953080191</v>
      </c>
      <c r="O568" s="1468">
        <v>1.2201763953080191</v>
      </c>
    </row>
    <row r="569" spans="11:15">
      <c r="K569" s="1465">
        <v>42626</v>
      </c>
      <c r="L569" s="1466" t="s">
        <v>2125</v>
      </c>
      <c r="M569" s="1467">
        <v>5.2531000000000001E-2</v>
      </c>
      <c r="N569" s="1468">
        <v>1.2208173661702384</v>
      </c>
      <c r="O569" s="1468">
        <v>1.2208173661702384</v>
      </c>
    </row>
    <row r="570" spans="11:15">
      <c r="K570" s="1465">
        <v>42627</v>
      </c>
      <c r="L570" s="1466" t="s">
        <v>2125</v>
      </c>
      <c r="M570" s="1467">
        <v>5.2531000000000001E-2</v>
      </c>
      <c r="N570" s="1468">
        <v>1.2214586737408613</v>
      </c>
      <c r="O570" s="1468">
        <v>1.2214586737408613</v>
      </c>
    </row>
    <row r="571" spans="11:15">
      <c r="K571" s="1465">
        <v>42628</v>
      </c>
      <c r="L571" s="1466" t="s">
        <v>2125</v>
      </c>
      <c r="M571" s="1467">
        <v>5.2531000000000001E-2</v>
      </c>
      <c r="N571" s="1468">
        <v>1.222100318196764</v>
      </c>
      <c r="O571" s="1468">
        <v>1.222100318196764</v>
      </c>
    </row>
    <row r="572" spans="11:15">
      <c r="K572" s="1465">
        <v>42629</v>
      </c>
      <c r="L572" s="1466" t="s">
        <v>2125</v>
      </c>
      <c r="M572" s="1467">
        <v>5.2531000000000001E-2</v>
      </c>
      <c r="N572" s="1468">
        <v>1.222742299714916</v>
      </c>
      <c r="O572" s="1468">
        <v>1.222742299714916</v>
      </c>
    </row>
    <row r="573" spans="11:15">
      <c r="K573" s="1465">
        <v>42630</v>
      </c>
      <c r="L573" s="1466"/>
      <c r="M573" s="1467">
        <v>0</v>
      </c>
      <c r="N573" s="1468">
        <v>1.222742299714916</v>
      </c>
      <c r="O573" s="1468">
        <v>1.222742299714916</v>
      </c>
    </row>
    <row r="574" spans="11:15">
      <c r="K574" s="1465">
        <v>42631</v>
      </c>
      <c r="L574" s="1466"/>
      <c r="M574" s="1467">
        <v>0</v>
      </c>
      <c r="N574" s="1468">
        <v>1.222742299714916</v>
      </c>
      <c r="O574" s="1468">
        <v>1.222742299714916</v>
      </c>
    </row>
    <row r="575" spans="11:15">
      <c r="K575" s="1465">
        <v>42632</v>
      </c>
      <c r="L575" s="1466" t="s">
        <v>2125</v>
      </c>
      <c r="M575" s="1467">
        <v>5.2531000000000001E-2</v>
      </c>
      <c r="N575" s="1468">
        <v>1.2233846184723793</v>
      </c>
      <c r="O575" s="1468">
        <v>1.2233846184723793</v>
      </c>
    </row>
    <row r="576" spans="11:15">
      <c r="K576" s="1465">
        <v>42633</v>
      </c>
      <c r="L576" s="1466" t="s">
        <v>2125</v>
      </c>
      <c r="M576" s="1467">
        <v>5.2531000000000001E-2</v>
      </c>
      <c r="N576" s="1468">
        <v>1.224027274646309</v>
      </c>
      <c r="O576" s="1468">
        <v>1.224027274646309</v>
      </c>
    </row>
    <row r="577" spans="11:15">
      <c r="K577" s="1465">
        <v>42634</v>
      </c>
      <c r="L577" s="1466" t="s">
        <v>2125</v>
      </c>
      <c r="M577" s="1467">
        <v>5.2531000000000001E-2</v>
      </c>
      <c r="N577" s="1468">
        <v>1.2246702684139534</v>
      </c>
      <c r="O577" s="1468">
        <v>1.2246702684139534</v>
      </c>
    </row>
    <row r="578" spans="11:15">
      <c r="K578" s="1465">
        <v>42635</v>
      </c>
      <c r="L578" s="1466" t="s">
        <v>2125</v>
      </c>
      <c r="M578" s="1467">
        <v>5.2531000000000001E-2</v>
      </c>
      <c r="N578" s="1468">
        <v>1.2253135999526539</v>
      </c>
      <c r="O578" s="1468">
        <v>1.2253135999526539</v>
      </c>
    </row>
    <row r="579" spans="11:15">
      <c r="K579" s="1465">
        <v>42636</v>
      </c>
      <c r="L579" s="1466" t="s">
        <v>2125</v>
      </c>
      <c r="M579" s="1467">
        <v>5.2531000000000001E-2</v>
      </c>
      <c r="N579" s="1468">
        <v>1.2259572694398451</v>
      </c>
      <c r="O579" s="1468">
        <v>1.2259572694398451</v>
      </c>
    </row>
    <row r="580" spans="11:15">
      <c r="K580" s="1465">
        <v>42637</v>
      </c>
      <c r="L580" s="1466"/>
      <c r="M580" s="1467">
        <v>0</v>
      </c>
      <c r="N580" s="1468">
        <v>1.2259572694398451</v>
      </c>
      <c r="O580" s="1468">
        <v>1.2259572694398451</v>
      </c>
    </row>
    <row r="581" spans="11:15">
      <c r="K581" s="1465">
        <v>42638</v>
      </c>
      <c r="L581" s="1466"/>
      <c r="M581" s="1467">
        <v>0</v>
      </c>
      <c r="N581" s="1468">
        <v>1.2259572694398451</v>
      </c>
      <c r="O581" s="1468">
        <v>1.2259572694398451</v>
      </c>
    </row>
    <row r="582" spans="11:15">
      <c r="K582" s="1465">
        <v>42639</v>
      </c>
      <c r="L582" s="1466" t="s">
        <v>2125</v>
      </c>
      <c r="M582" s="1467">
        <v>5.2531000000000001E-2</v>
      </c>
      <c r="N582" s="1468">
        <v>1.2266012770530546</v>
      </c>
      <c r="O582" s="1468">
        <v>1.2266012770530546</v>
      </c>
    </row>
    <row r="583" spans="11:15">
      <c r="K583" s="1465">
        <v>42640</v>
      </c>
      <c r="L583" s="1466" t="s">
        <v>2125</v>
      </c>
      <c r="M583" s="1467">
        <v>5.2531000000000001E-2</v>
      </c>
      <c r="N583" s="1468">
        <v>1.2272456229699034</v>
      </c>
      <c r="O583" s="1468">
        <v>1.2272456229699034</v>
      </c>
    </row>
    <row r="584" spans="11:15">
      <c r="K584" s="1465">
        <v>42641</v>
      </c>
      <c r="L584" s="1466" t="s">
        <v>2125</v>
      </c>
      <c r="M584" s="1467">
        <v>5.2531000000000001E-2</v>
      </c>
      <c r="N584" s="1468">
        <v>1.2278903073681058</v>
      </c>
      <c r="O584" s="1468">
        <v>1.2278903073681058</v>
      </c>
    </row>
    <row r="585" spans="11:15">
      <c r="K585" s="1465">
        <v>42642</v>
      </c>
      <c r="L585" s="1466" t="s">
        <v>2125</v>
      </c>
      <c r="M585" s="1467">
        <v>5.2531000000000001E-2</v>
      </c>
      <c r="N585" s="1468">
        <v>1.2285353304254694</v>
      </c>
      <c r="O585" s="1468">
        <v>1.2285353304254694</v>
      </c>
    </row>
    <row r="586" spans="11:15">
      <c r="K586" s="1465">
        <v>42643</v>
      </c>
      <c r="L586" s="1466" t="s">
        <v>2125</v>
      </c>
      <c r="M586" s="1467">
        <v>5.2531000000000001E-2</v>
      </c>
      <c r="N586" s="1468">
        <v>1.2291806923198951</v>
      </c>
      <c r="O586" s="1468">
        <v>1.2291806923198951</v>
      </c>
    </row>
    <row r="587" spans="11:15">
      <c r="K587" s="1465">
        <v>42644</v>
      </c>
      <c r="L587" s="1466"/>
      <c r="M587" s="1467">
        <v>0</v>
      </c>
      <c r="N587" s="1468">
        <v>1.2291806923198951</v>
      </c>
      <c r="O587" s="1468">
        <v>1.2291806923198951</v>
      </c>
    </row>
    <row r="588" spans="11:15">
      <c r="K588" s="1465">
        <v>42645</v>
      </c>
      <c r="L588" s="1466"/>
      <c r="M588" s="1467">
        <v>0</v>
      </c>
      <c r="N588" s="1468">
        <v>1.2291806923198951</v>
      </c>
      <c r="O588" s="1468">
        <v>1.2291806923198951</v>
      </c>
    </row>
    <row r="589" spans="11:15">
      <c r="K589" s="1465">
        <v>42646</v>
      </c>
      <c r="L589" s="1466" t="s">
        <v>2125</v>
      </c>
      <c r="M589" s="1467">
        <v>5.2531000000000001E-2</v>
      </c>
      <c r="N589" s="1468">
        <v>1.2298263932293776</v>
      </c>
      <c r="O589" s="1468">
        <v>1.2298263932293776</v>
      </c>
    </row>
    <row r="590" spans="11:15">
      <c r="K590" s="1465">
        <v>42647</v>
      </c>
      <c r="L590" s="1466" t="s">
        <v>2125</v>
      </c>
      <c r="M590" s="1467">
        <v>5.2531000000000001E-2</v>
      </c>
      <c r="N590" s="1468">
        <v>1.230472433332005</v>
      </c>
      <c r="O590" s="1468">
        <v>1.230472433332005</v>
      </c>
    </row>
    <row r="591" spans="11:15">
      <c r="K591" s="1465">
        <v>42648</v>
      </c>
      <c r="L591" s="1466" t="s">
        <v>2125</v>
      </c>
      <c r="M591" s="1467">
        <v>5.2531000000000001E-2</v>
      </c>
      <c r="N591" s="1468">
        <v>1.2311188128059587</v>
      </c>
      <c r="O591" s="1468">
        <v>1.2311188128059587</v>
      </c>
    </row>
    <row r="592" spans="11:15">
      <c r="K592" s="1465">
        <v>42649</v>
      </c>
      <c r="L592" s="1466" t="s">
        <v>2125</v>
      </c>
      <c r="M592" s="1467">
        <v>5.2531000000000001E-2</v>
      </c>
      <c r="N592" s="1468">
        <v>1.2317655318295138</v>
      </c>
      <c r="O592" s="1468">
        <v>1.2317655318295138</v>
      </c>
    </row>
    <row r="593" spans="11:15">
      <c r="K593" s="1465">
        <v>42650</v>
      </c>
      <c r="L593" s="1466" t="s">
        <v>2125</v>
      </c>
      <c r="M593" s="1467">
        <v>5.2531000000000001E-2</v>
      </c>
      <c r="N593" s="1468">
        <v>1.232412590581039</v>
      </c>
      <c r="O593" s="1468">
        <v>1.232412590581039</v>
      </c>
    </row>
    <row r="594" spans="11:15">
      <c r="K594" s="1465">
        <v>42651</v>
      </c>
      <c r="L594" s="1466"/>
      <c r="M594" s="1467">
        <v>0</v>
      </c>
      <c r="N594" s="1468">
        <v>1.232412590581039</v>
      </c>
      <c r="O594" s="1468">
        <v>1.232412590581039</v>
      </c>
    </row>
    <row r="595" spans="11:15">
      <c r="K595" s="1465">
        <v>42652</v>
      </c>
      <c r="L595" s="1466"/>
      <c r="M595" s="1467">
        <v>0</v>
      </c>
      <c r="N595" s="1468">
        <v>1.232412590581039</v>
      </c>
      <c r="O595" s="1468">
        <v>1.232412590581039</v>
      </c>
    </row>
    <row r="596" spans="11:15">
      <c r="K596" s="1465">
        <v>42653</v>
      </c>
      <c r="L596" s="1466" t="s">
        <v>2125</v>
      </c>
      <c r="M596" s="1467">
        <v>5.2531000000000001E-2</v>
      </c>
      <c r="N596" s="1468">
        <v>1.2330599892389971</v>
      </c>
      <c r="O596" s="1468">
        <v>1.2330599892389971</v>
      </c>
    </row>
    <row r="597" spans="11:15">
      <c r="K597" s="1465">
        <v>42654</v>
      </c>
      <c r="L597" s="1466" t="s">
        <v>2125</v>
      </c>
      <c r="M597" s="1467">
        <v>5.2531000000000001E-2</v>
      </c>
      <c r="N597" s="1468">
        <v>1.2337077279819442</v>
      </c>
      <c r="O597" s="1468">
        <v>1.2337077279819442</v>
      </c>
    </row>
    <row r="598" spans="11:15">
      <c r="K598" s="1465">
        <v>42655</v>
      </c>
      <c r="L598" s="1466"/>
      <c r="M598" s="1467">
        <v>0</v>
      </c>
      <c r="N598" s="1468">
        <v>1.2337077279819442</v>
      </c>
      <c r="O598" s="1468">
        <v>1.2337077279819442</v>
      </c>
    </row>
    <row r="599" spans="11:15">
      <c r="K599" s="1465">
        <v>42656</v>
      </c>
      <c r="L599" s="1466" t="s">
        <v>2125</v>
      </c>
      <c r="M599" s="1467">
        <v>5.2531000000000001E-2</v>
      </c>
      <c r="N599" s="1468">
        <v>1.2343558069885303</v>
      </c>
      <c r="O599" s="1468">
        <v>1.2343558069885303</v>
      </c>
    </row>
    <row r="600" spans="11:15">
      <c r="K600" s="1465">
        <v>42657</v>
      </c>
      <c r="L600" s="1466" t="s">
        <v>2125</v>
      </c>
      <c r="M600" s="1467">
        <v>5.2531000000000001E-2</v>
      </c>
      <c r="N600" s="1468">
        <v>1.2350042264374994</v>
      </c>
      <c r="O600" s="1468">
        <v>1.2350042264374994</v>
      </c>
    </row>
    <row r="601" spans="11:15">
      <c r="K601" s="1465">
        <v>42658</v>
      </c>
      <c r="L601" s="1466"/>
      <c r="M601" s="1467">
        <v>0</v>
      </c>
      <c r="N601" s="1468">
        <v>1.2350042264374994</v>
      </c>
      <c r="O601" s="1468">
        <v>1.2350042264374994</v>
      </c>
    </row>
    <row r="602" spans="11:15">
      <c r="K602" s="1465">
        <v>42659</v>
      </c>
      <c r="L602" s="1466"/>
      <c r="M602" s="1467">
        <v>0</v>
      </c>
      <c r="N602" s="1468">
        <v>1.2350042264374994</v>
      </c>
      <c r="O602" s="1468">
        <v>1.2350042264374994</v>
      </c>
    </row>
    <row r="603" spans="11:15">
      <c r="K603" s="1465">
        <v>42660</v>
      </c>
      <c r="L603" s="1466" t="s">
        <v>2125</v>
      </c>
      <c r="M603" s="1467">
        <v>5.2531000000000001E-2</v>
      </c>
      <c r="N603" s="1468">
        <v>1.2356529865076893</v>
      </c>
      <c r="O603" s="1468">
        <v>1.2356529865076893</v>
      </c>
    </row>
    <row r="604" spans="11:15">
      <c r="K604" s="1465">
        <v>42661</v>
      </c>
      <c r="L604" s="1466" t="s">
        <v>2125</v>
      </c>
      <c r="M604" s="1467">
        <v>5.2531000000000001E-2</v>
      </c>
      <c r="N604" s="1468">
        <v>1.2363020873780317</v>
      </c>
      <c r="O604" s="1468">
        <v>1.2363020873780317</v>
      </c>
    </row>
    <row r="605" spans="11:15">
      <c r="K605" s="1465">
        <v>42662</v>
      </c>
      <c r="L605" s="1466" t="s">
        <v>2125</v>
      </c>
      <c r="M605" s="1467">
        <v>5.2531000000000001E-2</v>
      </c>
      <c r="N605" s="1468">
        <v>1.2369515292275524</v>
      </c>
      <c r="O605" s="1468">
        <v>1.2369515292275524</v>
      </c>
    </row>
    <row r="606" spans="11:15">
      <c r="K606" s="1465">
        <v>42663</v>
      </c>
      <c r="L606" s="1466" t="s">
        <v>2125</v>
      </c>
      <c r="M606" s="1467">
        <v>5.1659999999999998E-2</v>
      </c>
      <c r="N606" s="1468">
        <v>1.2375905383875514</v>
      </c>
      <c r="O606" s="1468">
        <v>1.2376013122353708</v>
      </c>
    </row>
    <row r="607" spans="11:15">
      <c r="K607" s="1465">
        <v>42664</v>
      </c>
      <c r="L607" s="1466" t="s">
        <v>2125</v>
      </c>
      <c r="M607" s="1467">
        <v>5.1659999999999998E-2</v>
      </c>
      <c r="N607" s="1468">
        <v>1.2382298776596825</v>
      </c>
      <c r="O607" s="1468">
        <v>1.2382514365807011</v>
      </c>
    </row>
    <row r="608" spans="11:15">
      <c r="K608" s="1465">
        <v>42665</v>
      </c>
      <c r="L608" s="1466"/>
      <c r="M608" s="1467">
        <v>0</v>
      </c>
      <c r="N608" s="1468">
        <v>1.2382298776596825</v>
      </c>
      <c r="O608" s="1468">
        <v>1.2382514365807011</v>
      </c>
    </row>
    <row r="609" spans="11:15">
      <c r="K609" s="1465">
        <v>42666</v>
      </c>
      <c r="L609" s="1466"/>
      <c r="M609" s="1467">
        <v>0</v>
      </c>
      <c r="N609" s="1468">
        <v>1.2382298776596825</v>
      </c>
      <c r="O609" s="1468">
        <v>1.2382514365807011</v>
      </c>
    </row>
    <row r="610" spans="11:15">
      <c r="K610" s="1465">
        <v>42667</v>
      </c>
      <c r="L610" s="1466" t="s">
        <v>2125</v>
      </c>
      <c r="M610" s="1467">
        <v>5.1659999999999998E-2</v>
      </c>
      <c r="N610" s="1468">
        <v>1.2388695472144815</v>
      </c>
      <c r="O610" s="1468">
        <v>1.2389019024428514</v>
      </c>
    </row>
    <row r="611" spans="11:15">
      <c r="K611" s="1465">
        <v>42668</v>
      </c>
      <c r="L611" s="1466" t="s">
        <v>2125</v>
      </c>
      <c r="M611" s="1467">
        <v>5.1659999999999998E-2</v>
      </c>
      <c r="N611" s="1468">
        <v>1.2395095472225726</v>
      </c>
      <c r="O611" s="1468">
        <v>1.2395527100012236</v>
      </c>
    </row>
    <row r="612" spans="11:15">
      <c r="K612" s="1465">
        <v>42669</v>
      </c>
      <c r="L612" s="1466" t="s">
        <v>2125</v>
      </c>
      <c r="M612" s="1467">
        <v>5.1659999999999998E-2</v>
      </c>
      <c r="N612" s="1468">
        <v>1.2401498778546678</v>
      </c>
      <c r="O612" s="1468">
        <v>1.2402038594353144</v>
      </c>
    </row>
    <row r="613" spans="11:15">
      <c r="K613" s="1465">
        <v>42670</v>
      </c>
      <c r="L613" s="1466" t="s">
        <v>2125</v>
      </c>
      <c r="M613" s="1467">
        <v>5.1659999999999998E-2</v>
      </c>
      <c r="N613" s="1468">
        <v>1.2407905392815677</v>
      </c>
      <c r="O613" s="1468">
        <v>1.2408553509247144</v>
      </c>
    </row>
    <row r="614" spans="11:15">
      <c r="K614" s="1465">
        <v>42671</v>
      </c>
      <c r="L614" s="1466" t="s">
        <v>2125</v>
      </c>
      <c r="M614" s="1467">
        <v>5.1659999999999998E-2</v>
      </c>
      <c r="N614" s="1468">
        <v>1.2414315316741606</v>
      </c>
      <c r="O614" s="1468">
        <v>1.2415071846491088</v>
      </c>
    </row>
    <row r="615" spans="11:15">
      <c r="K615" s="1465">
        <v>42672</v>
      </c>
      <c r="L615" s="1466"/>
      <c r="M615" s="1467">
        <v>0</v>
      </c>
      <c r="N615" s="1468">
        <v>1.2414315316741606</v>
      </c>
      <c r="O615" s="1468">
        <v>1.2415071846491088</v>
      </c>
    </row>
    <row r="616" spans="11:15">
      <c r="K616" s="1465">
        <v>42673</v>
      </c>
      <c r="L616" s="1466"/>
      <c r="M616" s="1467">
        <v>0</v>
      </c>
      <c r="N616" s="1468">
        <v>1.2414315316741606</v>
      </c>
      <c r="O616" s="1468">
        <v>1.2415071846491088</v>
      </c>
    </row>
    <row r="617" spans="11:15">
      <c r="K617" s="1465">
        <v>42674</v>
      </c>
      <c r="L617" s="1466" t="s">
        <v>2125</v>
      </c>
      <c r="M617" s="1467">
        <v>5.1659999999999998E-2</v>
      </c>
      <c r="N617" s="1468">
        <v>1.2420728552034237</v>
      </c>
      <c r="O617" s="1468">
        <v>1.2421593607882768</v>
      </c>
    </row>
    <row r="618" spans="11:15">
      <c r="K618" s="1465">
        <v>42675</v>
      </c>
      <c r="L618" s="1466" t="s">
        <v>2125</v>
      </c>
      <c r="M618" s="1467">
        <v>5.1659999999999998E-2</v>
      </c>
      <c r="N618" s="1468">
        <v>1.242714510040422</v>
      </c>
      <c r="O618" s="1468">
        <v>1.2428118795220926</v>
      </c>
    </row>
    <row r="619" spans="11:15">
      <c r="K619" s="1465">
        <v>42676</v>
      </c>
      <c r="L619" s="1466"/>
      <c r="M619" s="1467">
        <v>0</v>
      </c>
      <c r="N619" s="1468">
        <v>1.242714510040422</v>
      </c>
      <c r="O619" s="1468">
        <v>1.2428118795220926</v>
      </c>
    </row>
    <row r="620" spans="11:15">
      <c r="K620" s="1465">
        <v>42677</v>
      </c>
      <c r="L620" s="1466" t="s">
        <v>2125</v>
      </c>
      <c r="M620" s="1467">
        <v>5.1659999999999998E-2</v>
      </c>
      <c r="N620" s="1468">
        <v>1.2433564963563091</v>
      </c>
      <c r="O620" s="1468">
        <v>1.2434647410305244</v>
      </c>
    </row>
    <row r="621" spans="11:15">
      <c r="K621" s="1465">
        <v>42678</v>
      </c>
      <c r="L621" s="1466" t="s">
        <v>2125</v>
      </c>
      <c r="M621" s="1467">
        <v>5.1659999999999998E-2</v>
      </c>
      <c r="N621" s="1468">
        <v>1.2439988143223268</v>
      </c>
      <c r="O621" s="1468">
        <v>1.2441179454936351</v>
      </c>
    </row>
    <row r="622" spans="11:15">
      <c r="K622" s="1465">
        <v>42679</v>
      </c>
      <c r="L622" s="1466"/>
      <c r="M622" s="1467">
        <v>0</v>
      </c>
      <c r="N622" s="1468">
        <v>1.2439988143223268</v>
      </c>
      <c r="O622" s="1468">
        <v>1.2441179454936351</v>
      </c>
    </row>
    <row r="623" spans="11:15">
      <c r="K623" s="1465">
        <v>42680</v>
      </c>
      <c r="L623" s="1466"/>
      <c r="M623" s="1467">
        <v>0</v>
      </c>
      <c r="N623" s="1468">
        <v>1.2439988143223268</v>
      </c>
      <c r="O623" s="1468">
        <v>1.2441179454936351</v>
      </c>
    </row>
    <row r="624" spans="11:15">
      <c r="K624" s="1465">
        <v>42681</v>
      </c>
      <c r="L624" s="1466" t="s">
        <v>2125</v>
      </c>
      <c r="M624" s="1467">
        <v>5.1659999999999998E-2</v>
      </c>
      <c r="N624" s="1468">
        <v>1.2446414641098058</v>
      </c>
      <c r="O624" s="1468">
        <v>1.2447714930915823</v>
      </c>
    </row>
    <row r="625" spans="11:15">
      <c r="K625" s="1465">
        <v>42682</v>
      </c>
      <c r="L625" s="1466" t="s">
        <v>2125</v>
      </c>
      <c r="M625" s="1467">
        <v>5.1659999999999998E-2</v>
      </c>
      <c r="N625" s="1468">
        <v>1.2452844458901651</v>
      </c>
      <c r="O625" s="1468">
        <v>1.2454253840046183</v>
      </c>
    </row>
    <row r="626" spans="11:15">
      <c r="K626" s="1465">
        <v>42683</v>
      </c>
      <c r="L626" s="1466" t="s">
        <v>2125</v>
      </c>
      <c r="M626" s="1467">
        <v>5.1659999999999998E-2</v>
      </c>
      <c r="N626" s="1468">
        <v>1.2459277598349121</v>
      </c>
      <c r="O626" s="1468">
        <v>1.2460796184130898</v>
      </c>
    </row>
    <row r="627" spans="11:15">
      <c r="K627" s="1465">
        <v>42684</v>
      </c>
      <c r="L627" s="1466" t="s">
        <v>2125</v>
      </c>
      <c r="M627" s="1467">
        <v>5.1659999999999998E-2</v>
      </c>
      <c r="N627" s="1468">
        <v>1.246571406115643</v>
      </c>
      <c r="O627" s="1468">
        <v>1.2467341964974383</v>
      </c>
    </row>
    <row r="628" spans="11:15">
      <c r="K628" s="1465">
        <v>42685</v>
      </c>
      <c r="L628" s="1466" t="s">
        <v>2125</v>
      </c>
      <c r="M628" s="1467">
        <v>5.1659999999999998E-2</v>
      </c>
      <c r="N628" s="1468">
        <v>1.2472153849040424</v>
      </c>
      <c r="O628" s="1468">
        <v>1.2473891184382004</v>
      </c>
    </row>
    <row r="629" spans="11:15">
      <c r="K629" s="1465">
        <v>42686</v>
      </c>
      <c r="L629" s="1466"/>
      <c r="M629" s="1467">
        <v>0</v>
      </c>
      <c r="N629" s="1468">
        <v>1.2472153849040424</v>
      </c>
      <c r="O629" s="1468">
        <v>1.2473891184382004</v>
      </c>
    </row>
    <row r="630" spans="11:15">
      <c r="K630" s="1465">
        <v>42687</v>
      </c>
      <c r="L630" s="1466"/>
      <c r="M630" s="1467">
        <v>0</v>
      </c>
      <c r="N630" s="1468">
        <v>1.2472153849040424</v>
      </c>
      <c r="O630" s="1468">
        <v>1.2473891184382004</v>
      </c>
    </row>
    <row r="631" spans="11:15">
      <c r="K631" s="1465">
        <v>42688</v>
      </c>
      <c r="L631" s="1466" t="s">
        <v>2125</v>
      </c>
      <c r="M631" s="1467">
        <v>5.1659999999999998E-2</v>
      </c>
      <c r="N631" s="1468">
        <v>1.247859696371884</v>
      </c>
      <c r="O631" s="1468">
        <v>1.2480443844160072</v>
      </c>
    </row>
    <row r="632" spans="11:15">
      <c r="K632" s="1465">
        <v>42689</v>
      </c>
      <c r="L632" s="1466"/>
      <c r="M632" s="1467">
        <v>0</v>
      </c>
      <c r="N632" s="1468">
        <v>1.247859696371884</v>
      </c>
      <c r="O632" s="1468">
        <v>1.2480443844160072</v>
      </c>
    </row>
    <row r="633" spans="11:15">
      <c r="K633" s="1465">
        <v>42690</v>
      </c>
      <c r="L633" s="1466" t="s">
        <v>2125</v>
      </c>
      <c r="M633" s="1467">
        <v>5.1659999999999998E-2</v>
      </c>
      <c r="N633" s="1468">
        <v>1.2485043406910299</v>
      </c>
      <c r="O633" s="1468">
        <v>1.2486999946115847</v>
      </c>
    </row>
    <row r="634" spans="11:15">
      <c r="K634" s="1465">
        <v>42691</v>
      </c>
      <c r="L634" s="1466" t="s">
        <v>2125</v>
      </c>
      <c r="M634" s="1467">
        <v>5.1659999999999998E-2</v>
      </c>
      <c r="N634" s="1468">
        <v>1.249149318033431</v>
      </c>
      <c r="O634" s="1468">
        <v>1.249355949205754</v>
      </c>
    </row>
    <row r="635" spans="11:15">
      <c r="K635" s="1465">
        <v>42692</v>
      </c>
      <c r="L635" s="1466" t="s">
        <v>2125</v>
      </c>
      <c r="M635" s="1467">
        <v>5.1659999999999998E-2</v>
      </c>
      <c r="N635" s="1468">
        <v>1.2497946285711272</v>
      </c>
      <c r="O635" s="1468">
        <v>1.2500122483794314</v>
      </c>
    </row>
    <row r="636" spans="11:15">
      <c r="K636" s="1465">
        <v>42693</v>
      </c>
      <c r="L636" s="1466"/>
      <c r="M636" s="1467">
        <v>0</v>
      </c>
      <c r="N636" s="1468">
        <v>1.2497946285711272</v>
      </c>
      <c r="O636" s="1468">
        <v>1.2500122483794314</v>
      </c>
    </row>
    <row r="637" spans="11:15">
      <c r="K637" s="1465">
        <v>42694</v>
      </c>
      <c r="L637" s="1466"/>
      <c r="M637" s="1467">
        <v>0</v>
      </c>
      <c r="N637" s="1468">
        <v>1.2497946285711272</v>
      </c>
      <c r="O637" s="1468">
        <v>1.2500122483794314</v>
      </c>
    </row>
    <row r="638" spans="11:15">
      <c r="K638" s="1465">
        <v>42695</v>
      </c>
      <c r="L638" s="1466" t="s">
        <v>2125</v>
      </c>
      <c r="M638" s="1467">
        <v>5.1659999999999998E-2</v>
      </c>
      <c r="N638" s="1468">
        <v>1.2504402724762471</v>
      </c>
      <c r="O638" s="1468">
        <v>1.2506688923136275</v>
      </c>
    </row>
    <row r="639" spans="11:15">
      <c r="K639" s="1465">
        <v>42696</v>
      </c>
      <c r="L639" s="1466" t="s">
        <v>2125</v>
      </c>
      <c r="M639" s="1467">
        <v>5.1659999999999998E-2</v>
      </c>
      <c r="N639" s="1468">
        <v>1.2510862499210085</v>
      </c>
      <c r="O639" s="1468">
        <v>1.2513258811894488</v>
      </c>
    </row>
    <row r="640" spans="11:15">
      <c r="K640" s="1465">
        <v>42697</v>
      </c>
      <c r="L640" s="1466" t="s">
        <v>2125</v>
      </c>
      <c r="M640" s="1467">
        <v>5.1659999999999998E-2</v>
      </c>
      <c r="N640" s="1468">
        <v>1.2517325610777177</v>
      </c>
      <c r="O640" s="1468">
        <v>1.2519832151880963</v>
      </c>
    </row>
    <row r="641" spans="11:15">
      <c r="K641" s="1465">
        <v>42698</v>
      </c>
      <c r="L641" s="1466" t="s">
        <v>2125</v>
      </c>
      <c r="M641" s="1467">
        <v>5.1659999999999998E-2</v>
      </c>
      <c r="N641" s="1468">
        <v>1.2523792061187706</v>
      </c>
      <c r="O641" s="1468">
        <v>1.2526408944908667</v>
      </c>
    </row>
    <row r="642" spans="11:15">
      <c r="K642" s="1465">
        <v>42699</v>
      </c>
      <c r="L642" s="1466" t="s">
        <v>2125</v>
      </c>
      <c r="M642" s="1467">
        <v>5.1659999999999998E-2</v>
      </c>
      <c r="N642" s="1468">
        <v>1.2530261852166518</v>
      </c>
      <c r="O642" s="1468">
        <v>1.2532989192791517</v>
      </c>
    </row>
    <row r="643" spans="11:15">
      <c r="K643" s="1465">
        <v>42700</v>
      </c>
      <c r="L643" s="1466"/>
      <c r="M643" s="1467">
        <v>0</v>
      </c>
      <c r="N643" s="1468">
        <v>1.2530261852166518</v>
      </c>
      <c r="O643" s="1468">
        <v>1.2532989192791517</v>
      </c>
    </row>
    <row r="644" spans="11:15">
      <c r="K644" s="1465">
        <v>42701</v>
      </c>
      <c r="L644" s="1466"/>
      <c r="M644" s="1467">
        <v>0</v>
      </c>
      <c r="N644" s="1468">
        <v>1.2530261852166518</v>
      </c>
      <c r="O644" s="1468">
        <v>1.2532989192791517</v>
      </c>
    </row>
    <row r="645" spans="11:15">
      <c r="K645" s="1465">
        <v>42702</v>
      </c>
      <c r="L645" s="1466" t="s">
        <v>2125</v>
      </c>
      <c r="M645" s="1467">
        <v>5.1659999999999998E-2</v>
      </c>
      <c r="N645" s="1468">
        <v>1.2536734985439348</v>
      </c>
      <c r="O645" s="1468">
        <v>1.2539572897344382</v>
      </c>
    </row>
    <row r="646" spans="11:15">
      <c r="K646" s="1465">
        <v>42703</v>
      </c>
      <c r="L646" s="1466" t="s">
        <v>2125</v>
      </c>
      <c r="M646" s="1467">
        <v>5.1659999999999998E-2</v>
      </c>
      <c r="N646" s="1468">
        <v>1.2543211462732828</v>
      </c>
      <c r="O646" s="1468">
        <v>1.2546160060383087</v>
      </c>
    </row>
    <row r="647" spans="11:15">
      <c r="K647" s="1465">
        <v>42704</v>
      </c>
      <c r="L647" s="1466" t="s">
        <v>2125</v>
      </c>
      <c r="M647" s="1467">
        <v>5.1659999999999998E-2</v>
      </c>
      <c r="N647" s="1468">
        <v>1.2549691285774478</v>
      </c>
      <c r="O647" s="1468">
        <v>1.2552750683724407</v>
      </c>
    </row>
    <row r="648" spans="11:15">
      <c r="K648" s="1465">
        <v>42705</v>
      </c>
      <c r="L648" s="1466" t="s">
        <v>2125</v>
      </c>
      <c r="M648" s="1467">
        <v>5.0788E-2</v>
      </c>
      <c r="N648" s="1468">
        <v>1.2556065022984697</v>
      </c>
      <c r="O648" s="1468">
        <v>1.2559344769186074</v>
      </c>
    </row>
    <row r="649" spans="11:15">
      <c r="K649" s="1465">
        <v>42706</v>
      </c>
      <c r="L649" s="1466" t="s">
        <v>2125</v>
      </c>
      <c r="M649" s="1467">
        <v>5.0788E-2</v>
      </c>
      <c r="N649" s="1468">
        <v>1.2562441997288571</v>
      </c>
      <c r="O649" s="1468">
        <v>1.2565942318586776</v>
      </c>
    </row>
    <row r="650" spans="11:15">
      <c r="K650" s="1465">
        <v>42707</v>
      </c>
      <c r="L650" s="1466"/>
      <c r="M650" s="1467">
        <v>0</v>
      </c>
      <c r="N650" s="1468">
        <v>1.2562441997288571</v>
      </c>
      <c r="O650" s="1468">
        <v>1.2565942318586776</v>
      </c>
    </row>
    <row r="651" spans="11:15">
      <c r="K651" s="1465">
        <v>42708</v>
      </c>
      <c r="L651" s="1466"/>
      <c r="M651" s="1467">
        <v>0</v>
      </c>
      <c r="N651" s="1468">
        <v>1.2562441997288571</v>
      </c>
      <c r="O651" s="1468">
        <v>1.2565942318586776</v>
      </c>
    </row>
    <row r="652" spans="11:15">
      <c r="K652" s="1465">
        <v>42709</v>
      </c>
      <c r="L652" s="1466" t="s">
        <v>2125</v>
      </c>
      <c r="M652" s="1467">
        <v>5.0788E-2</v>
      </c>
      <c r="N652" s="1468">
        <v>1.2568822210330155</v>
      </c>
      <c r="O652" s="1468">
        <v>1.2572543333746153</v>
      </c>
    </row>
    <row r="653" spans="11:15">
      <c r="K653" s="1465">
        <v>42710</v>
      </c>
      <c r="L653" s="1466" t="s">
        <v>2125</v>
      </c>
      <c r="M653" s="1467">
        <v>5.0788E-2</v>
      </c>
      <c r="N653" s="1468">
        <v>1.2575205663754339</v>
      </c>
      <c r="O653" s="1468">
        <v>1.2579147816484804</v>
      </c>
    </row>
    <row r="654" spans="11:15">
      <c r="K654" s="1465">
        <v>42711</v>
      </c>
      <c r="L654" s="1466" t="s">
        <v>2125</v>
      </c>
      <c r="M654" s="1467">
        <v>5.0788E-2</v>
      </c>
      <c r="N654" s="1468">
        <v>1.2581592359206846</v>
      </c>
      <c r="O654" s="1468">
        <v>1.258575576862428</v>
      </c>
    </row>
    <row r="655" spans="11:15">
      <c r="K655" s="1465">
        <v>42712</v>
      </c>
      <c r="L655" s="1466" t="s">
        <v>2125</v>
      </c>
      <c r="M655" s="1467">
        <v>5.0788E-2</v>
      </c>
      <c r="N655" s="1468">
        <v>1.2587982298334239</v>
      </c>
      <c r="O655" s="1468">
        <v>1.2592367191987097</v>
      </c>
    </row>
    <row r="656" spans="11:15">
      <c r="K656" s="1465">
        <v>42713</v>
      </c>
      <c r="L656" s="1466" t="s">
        <v>2125</v>
      </c>
      <c r="M656" s="1467">
        <v>5.0788E-2</v>
      </c>
      <c r="N656" s="1468">
        <v>1.2594375482783917</v>
      </c>
      <c r="O656" s="1468">
        <v>1.259898208839672</v>
      </c>
    </row>
    <row r="657" spans="11:15">
      <c r="K657" s="1465">
        <v>42714</v>
      </c>
      <c r="L657" s="1466"/>
      <c r="M657" s="1467">
        <v>0</v>
      </c>
      <c r="N657" s="1468">
        <v>1.2594375482783917</v>
      </c>
      <c r="O657" s="1468">
        <v>1.259898208839672</v>
      </c>
    </row>
    <row r="658" spans="11:15">
      <c r="K658" s="1465">
        <v>42715</v>
      </c>
      <c r="L658" s="1466"/>
      <c r="M658" s="1467">
        <v>0</v>
      </c>
      <c r="N658" s="1468">
        <v>1.2594375482783917</v>
      </c>
      <c r="O658" s="1468">
        <v>1.259898208839672</v>
      </c>
    </row>
    <row r="659" spans="11:15">
      <c r="K659" s="1465">
        <v>42716</v>
      </c>
      <c r="L659" s="1466" t="s">
        <v>2125</v>
      </c>
      <c r="M659" s="1467">
        <v>5.0788E-2</v>
      </c>
      <c r="N659" s="1468">
        <v>1.2600771914204114</v>
      </c>
      <c r="O659" s="1468">
        <v>1.2605600459677575</v>
      </c>
    </row>
    <row r="660" spans="11:15">
      <c r="K660" s="1465">
        <v>42717</v>
      </c>
      <c r="L660" s="1466" t="s">
        <v>2125</v>
      </c>
      <c r="M660" s="1467">
        <v>5.0788E-2</v>
      </c>
      <c r="N660" s="1468">
        <v>1.26071715942439</v>
      </c>
      <c r="O660" s="1468">
        <v>1.2612222307655048</v>
      </c>
    </row>
    <row r="661" spans="11:15">
      <c r="K661" s="1465">
        <v>42718</v>
      </c>
      <c r="L661" s="1466" t="s">
        <v>2125</v>
      </c>
      <c r="M661" s="1467">
        <v>5.0788E-2</v>
      </c>
      <c r="N661" s="1468">
        <v>1.2613574524553184</v>
      </c>
      <c r="O661" s="1468">
        <v>1.2618847634155481</v>
      </c>
    </row>
    <row r="662" spans="11:15">
      <c r="K662" s="1465">
        <v>42719</v>
      </c>
      <c r="L662" s="1466" t="s">
        <v>2125</v>
      </c>
      <c r="M662" s="1467">
        <v>5.0788E-2</v>
      </c>
      <c r="N662" s="1468">
        <v>1.2619980706782714</v>
      </c>
      <c r="O662" s="1468">
        <v>1.262547644100618</v>
      </c>
    </row>
    <row r="663" spans="11:15">
      <c r="K663" s="1465">
        <v>42720</v>
      </c>
      <c r="L663" s="1466" t="s">
        <v>2125</v>
      </c>
      <c r="M663" s="1467">
        <v>5.0788E-2</v>
      </c>
      <c r="N663" s="1468">
        <v>1.2626390142584074</v>
      </c>
      <c r="O663" s="1468">
        <v>1.2632108730035405</v>
      </c>
    </row>
    <row r="664" spans="11:15">
      <c r="K664" s="1465">
        <v>42721</v>
      </c>
      <c r="L664" s="1466"/>
      <c r="M664" s="1467">
        <v>0</v>
      </c>
      <c r="N664" s="1468">
        <v>1.2626390142584074</v>
      </c>
      <c r="O664" s="1468">
        <v>1.2632108730035405</v>
      </c>
    </row>
    <row r="665" spans="11:15">
      <c r="K665" s="1465">
        <v>42722</v>
      </c>
      <c r="L665" s="1466"/>
      <c r="M665" s="1467">
        <v>0</v>
      </c>
      <c r="N665" s="1468">
        <v>1.2626390142584074</v>
      </c>
      <c r="O665" s="1468">
        <v>1.2632108730035405</v>
      </c>
    </row>
    <row r="666" spans="11:15">
      <c r="K666" s="1465">
        <v>42723</v>
      </c>
      <c r="L666" s="1466" t="s">
        <v>2125</v>
      </c>
      <c r="M666" s="1467">
        <v>5.0788E-2</v>
      </c>
      <c r="N666" s="1468">
        <v>1.2632802833609691</v>
      </c>
      <c r="O666" s="1468">
        <v>1.2638744503072381</v>
      </c>
    </row>
    <row r="667" spans="11:15">
      <c r="K667" s="1465">
        <v>42724</v>
      </c>
      <c r="L667" s="1466" t="s">
        <v>2125</v>
      </c>
      <c r="M667" s="1467">
        <v>5.0788E-2</v>
      </c>
      <c r="N667" s="1468">
        <v>1.2639218781512824</v>
      </c>
      <c r="O667" s="1468">
        <v>1.2645383761947291</v>
      </c>
    </row>
    <row r="668" spans="11:15">
      <c r="K668" s="1465">
        <v>42725</v>
      </c>
      <c r="L668" s="1466" t="s">
        <v>2125</v>
      </c>
      <c r="M668" s="1467">
        <v>5.0788E-2</v>
      </c>
      <c r="N668" s="1468">
        <v>1.264563798794758</v>
      </c>
      <c r="O668" s="1468">
        <v>1.2652026508491279</v>
      </c>
    </row>
    <row r="669" spans="11:15">
      <c r="K669" s="1465">
        <v>42726</v>
      </c>
      <c r="L669" s="1466" t="s">
        <v>2125</v>
      </c>
      <c r="M669" s="1467">
        <v>5.0788E-2</v>
      </c>
      <c r="N669" s="1468">
        <v>1.2652060454568899</v>
      </c>
      <c r="O669" s="1468">
        <v>1.2658672744536454</v>
      </c>
    </row>
    <row r="670" spans="11:15">
      <c r="K670" s="1465">
        <v>42727</v>
      </c>
      <c r="L670" s="1466" t="s">
        <v>2125</v>
      </c>
      <c r="M670" s="1467">
        <v>5.0788E-2</v>
      </c>
      <c r="N670" s="1468">
        <v>1.2658486183032565</v>
      </c>
      <c r="O670" s="1468">
        <v>1.2665322471915887</v>
      </c>
    </row>
    <row r="671" spans="11:15">
      <c r="K671" s="1465">
        <v>42728</v>
      </c>
      <c r="L671" s="1466"/>
      <c r="M671" s="1467">
        <v>0</v>
      </c>
      <c r="N671" s="1468">
        <v>1.2658486183032565</v>
      </c>
      <c r="O671" s="1468">
        <v>1.2665322471915887</v>
      </c>
    </row>
    <row r="672" spans="11:15">
      <c r="K672" s="1465">
        <v>42729</v>
      </c>
      <c r="L672" s="1466"/>
      <c r="M672" s="1467">
        <v>0</v>
      </c>
      <c r="N672" s="1468">
        <v>1.2658486183032565</v>
      </c>
      <c r="O672" s="1468">
        <v>1.2665322471915887</v>
      </c>
    </row>
    <row r="673" spans="11:15">
      <c r="K673" s="1465">
        <v>42730</v>
      </c>
      <c r="L673" s="1466" t="s">
        <v>2125</v>
      </c>
      <c r="M673" s="1467">
        <v>5.0788E-2</v>
      </c>
      <c r="N673" s="1468">
        <v>1.2664915174995204</v>
      </c>
      <c r="O673" s="1468">
        <v>1.2671975692463611</v>
      </c>
    </row>
    <row r="674" spans="11:15">
      <c r="K674" s="1465">
        <v>42731</v>
      </c>
      <c r="L674" s="1466" t="s">
        <v>2125</v>
      </c>
      <c r="M674" s="1467">
        <v>5.0788E-2</v>
      </c>
      <c r="N674" s="1468">
        <v>1.2671347432114282</v>
      </c>
      <c r="O674" s="1468">
        <v>1.2678632408014618</v>
      </c>
    </row>
    <row r="675" spans="11:15">
      <c r="K675" s="1465">
        <v>42732</v>
      </c>
      <c r="L675" s="1466" t="s">
        <v>2125</v>
      </c>
      <c r="M675" s="1467">
        <v>5.0788E-2</v>
      </c>
      <c r="N675" s="1468">
        <v>1.2677782956048105</v>
      </c>
      <c r="O675" s="1468">
        <v>1.2685292620404873</v>
      </c>
    </row>
    <row r="676" spans="11:15">
      <c r="K676" s="1465">
        <v>42733</v>
      </c>
      <c r="L676" s="1466" t="s">
        <v>2125</v>
      </c>
      <c r="M676" s="1467">
        <v>5.0788E-2</v>
      </c>
      <c r="N676" s="1468">
        <v>1.2684221748455822</v>
      </c>
      <c r="O676" s="1468">
        <v>1.2691956331471299</v>
      </c>
    </row>
    <row r="677" spans="11:15">
      <c r="K677" s="1465">
        <v>42734</v>
      </c>
      <c r="L677" s="1466" t="s">
        <v>2125</v>
      </c>
      <c r="M677" s="1467">
        <v>5.0788E-2</v>
      </c>
      <c r="N677" s="1468">
        <v>1.2690663810997427</v>
      </c>
      <c r="O677" s="1468">
        <v>1.2698623543051784</v>
      </c>
    </row>
    <row r="678" spans="11:15">
      <c r="K678" s="1465">
        <v>42735</v>
      </c>
      <c r="L678" s="1466"/>
      <c r="M678" s="1467">
        <v>0</v>
      </c>
      <c r="N678" s="1468">
        <v>1.2690663810997427</v>
      </c>
      <c r="O678" s="1468">
        <v>1.2698623543051784</v>
      </c>
    </row>
    <row r="679" spans="11:15">
      <c r="K679" s="1465">
        <v>42736</v>
      </c>
      <c r="L679" s="1466"/>
      <c r="M679" s="1467">
        <v>0</v>
      </c>
      <c r="N679" s="1468">
        <v>1.2690663810997427</v>
      </c>
      <c r="O679" s="1468">
        <v>1.2698623543051784</v>
      </c>
    </row>
    <row r="680" spans="11:15">
      <c r="K680" s="1465">
        <v>42737</v>
      </c>
      <c r="L680" s="1466" t="s">
        <v>2125</v>
      </c>
      <c r="M680" s="1467">
        <v>5.0788E-2</v>
      </c>
      <c r="N680" s="1468">
        <v>1.2697109145333756</v>
      </c>
      <c r="O680" s="1468">
        <v>1.2705294256985185</v>
      </c>
    </row>
    <row r="681" spans="11:15">
      <c r="K681" s="1465">
        <v>42738</v>
      </c>
      <c r="L681" s="1466" t="s">
        <v>2125</v>
      </c>
      <c r="M681" s="1467">
        <v>5.0788E-2</v>
      </c>
      <c r="N681" s="1468">
        <v>1.2703557753126489</v>
      </c>
      <c r="O681" s="1468">
        <v>1.2711968475111322</v>
      </c>
    </row>
    <row r="682" spans="11:15">
      <c r="K682" s="1465">
        <v>42739</v>
      </c>
      <c r="L682" s="1466" t="s">
        <v>2125</v>
      </c>
      <c r="M682" s="1467">
        <v>5.0788E-2</v>
      </c>
      <c r="N682" s="1468">
        <v>1.2710009636038146</v>
      </c>
      <c r="O682" s="1468">
        <v>1.2718646199270982</v>
      </c>
    </row>
    <row r="683" spans="11:15">
      <c r="K683" s="1465">
        <v>42740</v>
      </c>
      <c r="L683" s="1466" t="s">
        <v>2125</v>
      </c>
      <c r="M683" s="1467">
        <v>5.0788E-2</v>
      </c>
      <c r="N683" s="1468">
        <v>1.2716464795732099</v>
      </c>
      <c r="O683" s="1468">
        <v>1.2725327431305922</v>
      </c>
    </row>
    <row r="684" spans="11:15">
      <c r="K684" s="1465">
        <v>42741</v>
      </c>
      <c r="L684" s="1466" t="s">
        <v>2125</v>
      </c>
      <c r="M684" s="1467">
        <v>5.0788E-2</v>
      </c>
      <c r="N684" s="1468">
        <v>1.2722923233872556</v>
      </c>
      <c r="O684" s="1468">
        <v>1.2732012173058862</v>
      </c>
    </row>
    <row r="685" spans="11:15">
      <c r="K685" s="1465">
        <v>42742</v>
      </c>
      <c r="L685" s="1466"/>
      <c r="M685" s="1467">
        <v>0</v>
      </c>
      <c r="N685" s="1468">
        <v>1.2722923233872556</v>
      </c>
      <c r="O685" s="1468">
        <v>1.2732012173058862</v>
      </c>
    </row>
    <row r="686" spans="11:15">
      <c r="K686" s="1465">
        <v>42743</v>
      </c>
      <c r="L686" s="1466"/>
      <c r="M686" s="1467">
        <v>0</v>
      </c>
      <c r="N686" s="1468">
        <v>1.2722923233872556</v>
      </c>
      <c r="O686" s="1468">
        <v>1.2732012173058862</v>
      </c>
    </row>
    <row r="687" spans="11:15">
      <c r="K687" s="1465">
        <v>42744</v>
      </c>
      <c r="L687" s="1466" t="s">
        <v>2125</v>
      </c>
      <c r="M687" s="1467">
        <v>5.0788E-2</v>
      </c>
      <c r="N687" s="1468">
        <v>1.2729384952124576</v>
      </c>
      <c r="O687" s="1468">
        <v>1.2738700426373493</v>
      </c>
    </row>
    <row r="688" spans="11:15">
      <c r="K688" s="1465">
        <v>42745</v>
      </c>
      <c r="L688" s="1466" t="s">
        <v>2125</v>
      </c>
      <c r="M688" s="1467">
        <v>5.0788E-2</v>
      </c>
      <c r="N688" s="1468">
        <v>1.2735849952154061</v>
      </c>
      <c r="O688" s="1468">
        <v>1.2745392193094471</v>
      </c>
    </row>
    <row r="689" spans="11:15">
      <c r="K689" s="1465">
        <v>42746</v>
      </c>
      <c r="L689" s="1466" t="s">
        <v>2125</v>
      </c>
      <c r="M689" s="1467">
        <v>5.0788E-2</v>
      </c>
      <c r="N689" s="1468">
        <v>1.2742318235627761</v>
      </c>
      <c r="O689" s="1468">
        <v>1.2752087475067426</v>
      </c>
    </row>
    <row r="690" spans="11:15">
      <c r="K690" s="1465">
        <v>42747</v>
      </c>
      <c r="L690" s="1466" t="s">
        <v>2125</v>
      </c>
      <c r="M690" s="1467">
        <v>4.8159E-2</v>
      </c>
      <c r="N690" s="1468">
        <v>1.2748454808666856</v>
      </c>
      <c r="O690" s="1468">
        <v>1.2758786274138953</v>
      </c>
    </row>
    <row r="691" spans="11:15">
      <c r="K691" s="1465">
        <v>42748</v>
      </c>
      <c r="L691" s="1466" t="s">
        <v>2125</v>
      </c>
      <c r="M691" s="1467">
        <v>4.8159E-2</v>
      </c>
      <c r="N691" s="1468">
        <v>1.2754594337018161</v>
      </c>
      <c r="O691" s="1468">
        <v>1.2765488592156622</v>
      </c>
    </row>
    <row r="692" spans="11:15">
      <c r="K692" s="1465">
        <v>42749</v>
      </c>
      <c r="L692" s="1466"/>
      <c r="M692" s="1467">
        <v>0</v>
      </c>
      <c r="N692" s="1468">
        <v>1.2754594337018161</v>
      </c>
      <c r="O692" s="1468">
        <v>1.2765488592156622</v>
      </c>
    </row>
    <row r="693" spans="11:15">
      <c r="K693" s="1465">
        <v>42750</v>
      </c>
      <c r="L693" s="1466"/>
      <c r="M693" s="1467">
        <v>0</v>
      </c>
      <c r="N693" s="1468">
        <v>1.2754594337018161</v>
      </c>
      <c r="O693" s="1468">
        <v>1.2765488592156622</v>
      </c>
    </row>
    <row r="694" spans="11:15">
      <c r="K694" s="1465">
        <v>42751</v>
      </c>
      <c r="L694" s="1466" t="s">
        <v>2125</v>
      </c>
      <c r="M694" s="1467">
        <v>4.8159E-2</v>
      </c>
      <c r="N694" s="1468">
        <v>1.2760736822104926</v>
      </c>
      <c r="O694" s="1468">
        <v>1.2772194430968968</v>
      </c>
    </row>
    <row r="695" spans="11:15">
      <c r="K695" s="1465">
        <v>42752</v>
      </c>
      <c r="L695" s="1466" t="s">
        <v>2125</v>
      </c>
      <c r="M695" s="1467">
        <v>4.8159E-2</v>
      </c>
      <c r="N695" s="1468">
        <v>1.2766882265351083</v>
      </c>
      <c r="O695" s="1468">
        <v>1.27789037924255</v>
      </c>
    </row>
    <row r="696" spans="11:15">
      <c r="K696" s="1465">
        <v>42753</v>
      </c>
      <c r="L696" s="1466" t="s">
        <v>2125</v>
      </c>
      <c r="M696" s="1467">
        <v>4.8159E-2</v>
      </c>
      <c r="N696" s="1468">
        <v>1.2773030668181251</v>
      </c>
      <c r="O696" s="1468">
        <v>1.2785616678376699</v>
      </c>
    </row>
    <row r="697" spans="11:15">
      <c r="K697" s="1465">
        <v>42754</v>
      </c>
      <c r="L697" s="1466" t="s">
        <v>2125</v>
      </c>
      <c r="M697" s="1467">
        <v>4.8159E-2</v>
      </c>
      <c r="N697" s="1468">
        <v>1.2779182032020739</v>
      </c>
      <c r="O697" s="1468">
        <v>1.2792333090674017</v>
      </c>
    </row>
    <row r="698" spans="11:15">
      <c r="K698" s="1465">
        <v>42755</v>
      </c>
      <c r="L698" s="1466" t="s">
        <v>2125</v>
      </c>
      <c r="M698" s="1467">
        <v>4.8159E-2</v>
      </c>
      <c r="N698" s="1468">
        <v>1.278533635829554</v>
      </c>
      <c r="O698" s="1468">
        <v>1.279905303116988</v>
      </c>
    </row>
    <row r="699" spans="11:15">
      <c r="K699" s="1465">
        <v>42756</v>
      </c>
      <c r="L699" s="1466"/>
      <c r="M699" s="1467">
        <v>0</v>
      </c>
      <c r="N699" s="1468">
        <v>1.278533635829554</v>
      </c>
      <c r="O699" s="1468">
        <v>1.279905303116988</v>
      </c>
    </row>
    <row r="700" spans="11:15">
      <c r="K700" s="1465">
        <v>42757</v>
      </c>
      <c r="L700" s="1466"/>
      <c r="M700" s="1467">
        <v>0</v>
      </c>
      <c r="N700" s="1468">
        <v>1.278533635829554</v>
      </c>
      <c r="O700" s="1468">
        <v>1.279905303116988</v>
      </c>
    </row>
    <row r="701" spans="11:15">
      <c r="K701" s="1465">
        <v>42758</v>
      </c>
      <c r="L701" s="1466" t="s">
        <v>2125</v>
      </c>
      <c r="M701" s="1467">
        <v>4.8159E-2</v>
      </c>
      <c r="N701" s="1468">
        <v>1.279149364843233</v>
      </c>
      <c r="O701" s="1468">
        <v>1.2805776501717685</v>
      </c>
    </row>
    <row r="702" spans="11:15">
      <c r="K702" s="1465">
        <v>42759</v>
      </c>
      <c r="L702" s="1466" t="s">
        <v>2125</v>
      </c>
      <c r="M702" s="1467">
        <v>4.8159E-2</v>
      </c>
      <c r="N702" s="1468">
        <v>1.2797653903858479</v>
      </c>
      <c r="O702" s="1468">
        <v>1.2812503504171802</v>
      </c>
    </row>
    <row r="703" spans="11:15">
      <c r="K703" s="1465">
        <v>42760</v>
      </c>
      <c r="L703" s="1466" t="s">
        <v>2125</v>
      </c>
      <c r="M703" s="1467">
        <v>4.8159E-2</v>
      </c>
      <c r="N703" s="1468">
        <v>1.2803817126002037</v>
      </c>
      <c r="O703" s="1468">
        <v>1.2819234040387577</v>
      </c>
    </row>
    <row r="704" spans="11:15">
      <c r="K704" s="1465">
        <v>42761</v>
      </c>
      <c r="L704" s="1466" t="s">
        <v>2125</v>
      </c>
      <c r="M704" s="1467">
        <v>4.8159E-2</v>
      </c>
      <c r="N704" s="1468">
        <v>1.2809983316291746</v>
      </c>
      <c r="O704" s="1468">
        <v>1.2825968112221333</v>
      </c>
    </row>
    <row r="705" spans="11:15">
      <c r="K705" s="1465">
        <v>42762</v>
      </c>
      <c r="L705" s="1466" t="s">
        <v>2125</v>
      </c>
      <c r="M705" s="1467">
        <v>4.8159E-2</v>
      </c>
      <c r="N705" s="1468">
        <v>1.2816152476157039</v>
      </c>
      <c r="O705" s="1468">
        <v>1.2832705721530364</v>
      </c>
    </row>
    <row r="706" spans="11:15">
      <c r="K706" s="1465">
        <v>42763</v>
      </c>
      <c r="L706" s="1466"/>
      <c r="M706" s="1467">
        <v>0</v>
      </c>
      <c r="N706" s="1468">
        <v>1.2816152476157039</v>
      </c>
      <c r="O706" s="1468">
        <v>1.2832705721530364</v>
      </c>
    </row>
    <row r="707" spans="11:15">
      <c r="K707" s="1465">
        <v>42764</v>
      </c>
      <c r="L707" s="1466"/>
      <c r="M707" s="1467">
        <v>0</v>
      </c>
      <c r="N707" s="1468">
        <v>1.2816152476157039</v>
      </c>
      <c r="O707" s="1468">
        <v>1.2832705721530364</v>
      </c>
    </row>
    <row r="708" spans="11:15">
      <c r="K708" s="1465">
        <v>42765</v>
      </c>
      <c r="L708" s="1466" t="s">
        <v>2125</v>
      </c>
      <c r="M708" s="1467">
        <v>4.8159E-2</v>
      </c>
      <c r="N708" s="1468">
        <v>1.2822324607028031</v>
      </c>
      <c r="O708" s="1468">
        <v>1.2839446870172941</v>
      </c>
    </row>
    <row r="709" spans="11:15">
      <c r="K709" s="1465">
        <v>42766</v>
      </c>
      <c r="L709" s="1466" t="s">
        <v>2125</v>
      </c>
      <c r="M709" s="1467">
        <v>4.8159E-2</v>
      </c>
      <c r="N709" s="1468">
        <v>1.2828499710335528</v>
      </c>
      <c r="O709" s="1468">
        <v>1.2846191560008311</v>
      </c>
    </row>
    <row r="710" spans="11:15">
      <c r="K710" s="1465">
        <v>42767</v>
      </c>
      <c r="L710" s="1466" t="s">
        <v>2125</v>
      </c>
      <c r="M710" s="1467">
        <v>4.8159E-2</v>
      </c>
      <c r="N710" s="1468">
        <v>1.2834677787511029</v>
      </c>
      <c r="O710" s="1468">
        <v>1.2852939792896698</v>
      </c>
    </row>
    <row r="711" spans="11:15">
      <c r="K711" s="1465">
        <v>42768</v>
      </c>
      <c r="L711" s="1466" t="s">
        <v>2125</v>
      </c>
      <c r="M711" s="1467">
        <v>4.8159E-2</v>
      </c>
      <c r="N711" s="1468">
        <v>1.2840858839986715</v>
      </c>
      <c r="O711" s="1468">
        <v>1.2859691570699305</v>
      </c>
    </row>
    <row r="712" spans="11:15">
      <c r="K712" s="1465">
        <v>42769</v>
      </c>
      <c r="L712" s="1466" t="s">
        <v>2125</v>
      </c>
      <c r="M712" s="1467">
        <v>4.8159E-2</v>
      </c>
      <c r="N712" s="1468">
        <v>1.2847042869195464</v>
      </c>
      <c r="O712" s="1468">
        <v>1.286644689527831</v>
      </c>
    </row>
    <row r="713" spans="11:15">
      <c r="K713" s="1465">
        <v>42770</v>
      </c>
      <c r="L713" s="1466"/>
      <c r="M713" s="1467">
        <v>0</v>
      </c>
      <c r="N713" s="1468">
        <v>1.2847042869195464</v>
      </c>
      <c r="O713" s="1468">
        <v>1.286644689527831</v>
      </c>
    </row>
    <row r="714" spans="11:15">
      <c r="K714" s="1465">
        <v>42771</v>
      </c>
      <c r="L714" s="1466"/>
      <c r="M714" s="1467">
        <v>0</v>
      </c>
      <c r="N714" s="1468">
        <v>1.2847042869195464</v>
      </c>
      <c r="O714" s="1468">
        <v>1.286644689527831</v>
      </c>
    </row>
    <row r="715" spans="11:15">
      <c r="K715" s="1465">
        <v>42772</v>
      </c>
      <c r="L715" s="1466" t="s">
        <v>2125</v>
      </c>
      <c r="M715" s="1467">
        <v>4.8159E-2</v>
      </c>
      <c r="N715" s="1468">
        <v>1.285322987657084</v>
      </c>
      <c r="O715" s="1468">
        <v>1.2873205768496869</v>
      </c>
    </row>
    <row r="716" spans="11:15">
      <c r="K716" s="1465">
        <v>42773</v>
      </c>
      <c r="L716" s="1466" t="s">
        <v>2125</v>
      </c>
      <c r="M716" s="1467">
        <v>4.8159E-2</v>
      </c>
      <c r="N716" s="1468">
        <v>1.2859419863547097</v>
      </c>
      <c r="O716" s="1468">
        <v>1.2879968192219118</v>
      </c>
    </row>
    <row r="717" spans="11:15">
      <c r="K717" s="1465">
        <v>42774</v>
      </c>
      <c r="L717" s="1466" t="s">
        <v>2125</v>
      </c>
      <c r="M717" s="1467">
        <v>4.8159E-2</v>
      </c>
      <c r="N717" s="1468">
        <v>1.2865612831559181</v>
      </c>
      <c r="O717" s="1468">
        <v>1.2886734168310172</v>
      </c>
    </row>
    <row r="718" spans="11:15">
      <c r="K718" s="1465">
        <v>42775</v>
      </c>
      <c r="L718" s="1466" t="s">
        <v>2125</v>
      </c>
      <c r="M718" s="1467">
        <v>4.8159E-2</v>
      </c>
      <c r="N718" s="1468">
        <v>1.2871808782042731</v>
      </c>
      <c r="O718" s="1468">
        <v>1.2893503698636126</v>
      </c>
    </row>
    <row r="719" spans="11:15">
      <c r="K719" s="1465">
        <v>42776</v>
      </c>
      <c r="L719" s="1466" t="s">
        <v>2125</v>
      </c>
      <c r="M719" s="1467">
        <v>4.8159E-2</v>
      </c>
      <c r="N719" s="1468">
        <v>1.2878007716434074</v>
      </c>
      <c r="O719" s="1468">
        <v>1.2900276785064058</v>
      </c>
    </row>
    <row r="720" spans="11:15">
      <c r="K720" s="1465">
        <v>42777</v>
      </c>
      <c r="L720" s="1466"/>
      <c r="M720" s="1467">
        <v>0</v>
      </c>
      <c r="N720" s="1468">
        <v>1.2878007716434074</v>
      </c>
      <c r="O720" s="1468">
        <v>1.2900276785064058</v>
      </c>
    </row>
    <row r="721" spans="11:15">
      <c r="K721" s="1465">
        <v>42778</v>
      </c>
      <c r="L721" s="1466"/>
      <c r="M721" s="1467">
        <v>0</v>
      </c>
      <c r="N721" s="1468">
        <v>1.2878007716434074</v>
      </c>
      <c r="O721" s="1468">
        <v>1.2900276785064058</v>
      </c>
    </row>
    <row r="722" spans="11:15">
      <c r="K722" s="1465">
        <v>42779</v>
      </c>
      <c r="L722" s="1466" t="s">
        <v>2125</v>
      </c>
      <c r="M722" s="1467">
        <v>4.8159E-2</v>
      </c>
      <c r="N722" s="1468">
        <v>1.2884209636170232</v>
      </c>
      <c r="O722" s="1468">
        <v>1.2907053429462019</v>
      </c>
    </row>
    <row r="723" spans="11:15">
      <c r="K723" s="1465">
        <v>42780</v>
      </c>
      <c r="L723" s="1466" t="s">
        <v>2125</v>
      </c>
      <c r="M723" s="1467">
        <v>4.8159E-2</v>
      </c>
      <c r="N723" s="1468">
        <v>1.2890414542688915</v>
      </c>
      <c r="O723" s="1468">
        <v>1.291383363369905</v>
      </c>
    </row>
    <row r="724" spans="11:15">
      <c r="K724" s="1465">
        <v>42781</v>
      </c>
      <c r="L724" s="1466" t="s">
        <v>2125</v>
      </c>
      <c r="M724" s="1467">
        <v>4.8159E-2</v>
      </c>
      <c r="N724" s="1468">
        <v>1.2896622437428527</v>
      </c>
      <c r="O724" s="1468">
        <v>1.2920617399645169</v>
      </c>
    </row>
    <row r="725" spans="11:15">
      <c r="K725" s="1465">
        <v>42782</v>
      </c>
      <c r="L725" s="1466" t="s">
        <v>2125</v>
      </c>
      <c r="M725" s="1467">
        <v>4.8159E-2</v>
      </c>
      <c r="N725" s="1468">
        <v>1.2902833321828167</v>
      </c>
      <c r="O725" s="1468">
        <v>1.2927404729171377</v>
      </c>
    </row>
    <row r="726" spans="11:15">
      <c r="K726" s="1465">
        <v>42783</v>
      </c>
      <c r="L726" s="1466" t="s">
        <v>2125</v>
      </c>
      <c r="M726" s="1467">
        <v>4.8159E-2</v>
      </c>
      <c r="N726" s="1468">
        <v>1.2909047197327626</v>
      </c>
      <c r="O726" s="1468">
        <v>1.2934195624149658</v>
      </c>
    </row>
    <row r="727" spans="11:15">
      <c r="K727" s="1465">
        <v>42784</v>
      </c>
      <c r="L727" s="1466"/>
      <c r="M727" s="1467">
        <v>0</v>
      </c>
      <c r="N727" s="1468">
        <v>1.2909047197327626</v>
      </c>
      <c r="O727" s="1468">
        <v>1.2934195624149658</v>
      </c>
    </row>
    <row r="728" spans="11:15">
      <c r="K728" s="1465">
        <v>42785</v>
      </c>
      <c r="L728" s="1466"/>
      <c r="M728" s="1467">
        <v>0</v>
      </c>
      <c r="N728" s="1468">
        <v>1.2909047197327626</v>
      </c>
      <c r="O728" s="1468">
        <v>1.2934195624149658</v>
      </c>
    </row>
    <row r="729" spans="11:15">
      <c r="K729" s="1465">
        <v>42786</v>
      </c>
      <c r="L729" s="1466" t="s">
        <v>2125</v>
      </c>
      <c r="M729" s="1467">
        <v>4.8159E-2</v>
      </c>
      <c r="N729" s="1468">
        <v>1.2915264065367384</v>
      </c>
      <c r="O729" s="1468">
        <v>1.2940990086452979</v>
      </c>
    </row>
    <row r="730" spans="11:15">
      <c r="K730" s="1465">
        <v>42787</v>
      </c>
      <c r="L730" s="1466" t="s">
        <v>2125</v>
      </c>
      <c r="M730" s="1467">
        <v>4.8159E-2</v>
      </c>
      <c r="N730" s="1468">
        <v>1.2921483927388624</v>
      </c>
      <c r="O730" s="1468">
        <v>1.2947788117955294</v>
      </c>
    </row>
    <row r="731" spans="11:15">
      <c r="K731" s="1465">
        <v>42788</v>
      </c>
      <c r="L731" s="1466" t="s">
        <v>2125</v>
      </c>
      <c r="M731" s="1467">
        <v>4.8159E-2</v>
      </c>
      <c r="N731" s="1468">
        <v>1.2927706784833215</v>
      </c>
      <c r="O731" s="1468">
        <v>1.2954589720531537</v>
      </c>
    </row>
    <row r="732" spans="11:15">
      <c r="K732" s="1465">
        <v>42789</v>
      </c>
      <c r="L732" s="1466" t="s">
        <v>2125</v>
      </c>
      <c r="M732" s="1467">
        <v>4.5512999999999998E-2</v>
      </c>
      <c r="N732" s="1468">
        <v>1.2933590572022196</v>
      </c>
      <c r="O732" s="1468">
        <v>1.296139489605763</v>
      </c>
    </row>
    <row r="733" spans="11:15">
      <c r="K733" s="1465">
        <v>42790</v>
      </c>
      <c r="L733" s="1466" t="s">
        <v>2125</v>
      </c>
      <c r="M733" s="1467">
        <v>4.5512999999999998E-2</v>
      </c>
      <c r="N733" s="1468">
        <v>1.2939477037099241</v>
      </c>
      <c r="O733" s="1468">
        <v>1.2968203646410479</v>
      </c>
    </row>
    <row r="734" spans="11:15">
      <c r="K734" s="1465">
        <v>42791</v>
      </c>
      <c r="L734" s="1466"/>
      <c r="M734" s="1467">
        <v>0</v>
      </c>
      <c r="N734" s="1468">
        <v>1.2939477037099241</v>
      </c>
      <c r="O734" s="1468">
        <v>1.2968203646410479</v>
      </c>
    </row>
    <row r="735" spans="11:15">
      <c r="K735" s="1465">
        <v>42792</v>
      </c>
      <c r="L735" s="1466"/>
      <c r="M735" s="1467">
        <v>0</v>
      </c>
      <c r="N735" s="1468">
        <v>1.2939477037099241</v>
      </c>
      <c r="O735" s="1468">
        <v>1.2968203646410479</v>
      </c>
    </row>
    <row r="736" spans="11:15">
      <c r="K736" s="1465">
        <v>42793</v>
      </c>
      <c r="L736" s="1466"/>
      <c r="M736" s="1467">
        <v>0</v>
      </c>
      <c r="N736" s="1468">
        <v>1.2939477037099241</v>
      </c>
      <c r="O736" s="1468">
        <v>1.2968203646410479</v>
      </c>
    </row>
    <row r="737" spans="11:15">
      <c r="K737" s="1465">
        <v>42794</v>
      </c>
      <c r="L737" s="1466"/>
      <c r="M737" s="1467">
        <v>0</v>
      </c>
      <c r="N737" s="1468">
        <v>1.2939477037099241</v>
      </c>
      <c r="O737" s="1468">
        <v>1.2968203646410479</v>
      </c>
    </row>
    <row r="738" spans="11:15">
      <c r="K738" s="1465">
        <v>42795</v>
      </c>
      <c r="L738" s="1466" t="s">
        <v>2125</v>
      </c>
      <c r="M738" s="1467">
        <v>4.5512999999999998E-2</v>
      </c>
      <c r="N738" s="1468">
        <v>1.2945366181283136</v>
      </c>
      <c r="O738" s="1468">
        <v>1.2975015973467974</v>
      </c>
    </row>
    <row r="739" spans="11:15">
      <c r="K739" s="1465">
        <v>42796</v>
      </c>
      <c r="L739" s="1466" t="s">
        <v>2125</v>
      </c>
      <c r="M739" s="1467">
        <v>4.5512999999999998E-2</v>
      </c>
      <c r="N739" s="1468">
        <v>1.2951258005793223</v>
      </c>
      <c r="O739" s="1468">
        <v>1.2981831879108996</v>
      </c>
    </row>
    <row r="740" spans="11:15">
      <c r="K740" s="1465">
        <v>42797</v>
      </c>
      <c r="L740" s="1466" t="s">
        <v>2125</v>
      </c>
      <c r="M740" s="1467">
        <v>4.5512999999999998E-2</v>
      </c>
      <c r="N740" s="1468">
        <v>1.2957152511849399</v>
      </c>
      <c r="O740" s="1468">
        <v>1.2988651365213411</v>
      </c>
    </row>
    <row r="741" spans="11:15">
      <c r="K741" s="1465">
        <v>42798</v>
      </c>
      <c r="L741" s="1466"/>
      <c r="M741" s="1467">
        <v>0</v>
      </c>
      <c r="N741" s="1468">
        <v>1.2957152511849399</v>
      </c>
      <c r="O741" s="1468">
        <v>1.2988651365213411</v>
      </c>
    </row>
    <row r="742" spans="11:15">
      <c r="K742" s="1465">
        <v>42799</v>
      </c>
      <c r="L742" s="1466"/>
      <c r="M742" s="1467">
        <v>0</v>
      </c>
      <c r="N742" s="1468">
        <v>1.2957152511849399</v>
      </c>
      <c r="O742" s="1468">
        <v>1.2988651365213411</v>
      </c>
    </row>
    <row r="743" spans="11:15">
      <c r="K743" s="1465">
        <v>42800</v>
      </c>
      <c r="L743" s="1466" t="s">
        <v>2125</v>
      </c>
      <c r="M743" s="1467">
        <v>4.5512999999999998E-2</v>
      </c>
      <c r="N743" s="1468">
        <v>1.2963049700672116</v>
      </c>
      <c r="O743" s="1468">
        <v>1.2995474433662071</v>
      </c>
    </row>
    <row r="744" spans="11:15">
      <c r="K744" s="1465">
        <v>42801</v>
      </c>
      <c r="L744" s="1466" t="s">
        <v>2125</v>
      </c>
      <c r="M744" s="1467">
        <v>4.5512999999999998E-2</v>
      </c>
      <c r="N744" s="1468">
        <v>1.2968949573482382</v>
      </c>
      <c r="O744" s="1468">
        <v>1.3002301086336818</v>
      </c>
    </row>
    <row r="745" spans="11:15">
      <c r="K745" s="1465">
        <v>42802</v>
      </c>
      <c r="L745" s="1466" t="s">
        <v>2125</v>
      </c>
      <c r="M745" s="1467">
        <v>4.5512999999999998E-2</v>
      </c>
      <c r="N745" s="1468">
        <v>1.2974852131501762</v>
      </c>
      <c r="O745" s="1468">
        <v>1.3009131325120482</v>
      </c>
    </row>
    <row r="746" spans="11:15">
      <c r="K746" s="1465">
        <v>42803</v>
      </c>
      <c r="L746" s="1466" t="s">
        <v>2125</v>
      </c>
      <c r="M746" s="1467">
        <v>4.5512999999999998E-2</v>
      </c>
      <c r="N746" s="1468">
        <v>1.2980757375952372</v>
      </c>
      <c r="O746" s="1468">
        <v>1.3015965151896882</v>
      </c>
    </row>
    <row r="747" spans="11:15">
      <c r="K747" s="1465">
        <v>42804</v>
      </c>
      <c r="L747" s="1466" t="s">
        <v>2125</v>
      </c>
      <c r="M747" s="1467">
        <v>4.5512999999999998E-2</v>
      </c>
      <c r="N747" s="1468">
        <v>1.2986665308056888</v>
      </c>
      <c r="O747" s="1468">
        <v>1.3022802568550824</v>
      </c>
    </row>
    <row r="748" spans="11:15">
      <c r="K748" s="1465">
        <v>42805</v>
      </c>
      <c r="L748" s="1466"/>
      <c r="M748" s="1467">
        <v>0</v>
      </c>
      <c r="N748" s="1468">
        <v>1.2986665308056888</v>
      </c>
      <c r="O748" s="1468">
        <v>1.3022802568550824</v>
      </c>
    </row>
    <row r="749" spans="11:15">
      <c r="K749" s="1465">
        <v>42806</v>
      </c>
      <c r="L749" s="1466"/>
      <c r="M749" s="1467">
        <v>0</v>
      </c>
      <c r="N749" s="1468">
        <v>1.2986665308056888</v>
      </c>
      <c r="O749" s="1468">
        <v>1.3022802568550824</v>
      </c>
    </row>
    <row r="750" spans="11:15">
      <c r="K750" s="1465">
        <v>42807</v>
      </c>
      <c r="L750" s="1466" t="s">
        <v>2125</v>
      </c>
      <c r="M750" s="1467">
        <v>4.5512999999999998E-2</v>
      </c>
      <c r="N750" s="1468">
        <v>1.2992575929038543</v>
      </c>
      <c r="O750" s="1468">
        <v>1.3029643576968111</v>
      </c>
    </row>
    <row r="751" spans="11:15">
      <c r="K751" s="1465">
        <v>42808</v>
      </c>
      <c r="L751" s="1466" t="s">
        <v>2125</v>
      </c>
      <c r="M751" s="1467">
        <v>4.5512999999999998E-2</v>
      </c>
      <c r="N751" s="1468">
        <v>1.2998489240121127</v>
      </c>
      <c r="O751" s="1468">
        <v>1.3036488179035528</v>
      </c>
    </row>
    <row r="752" spans="11:15">
      <c r="K752" s="1465">
        <v>42809</v>
      </c>
      <c r="L752" s="1466" t="s">
        <v>2125</v>
      </c>
      <c r="M752" s="1467">
        <v>4.5512999999999998E-2</v>
      </c>
      <c r="N752" s="1468">
        <v>1.3004405242528982</v>
      </c>
      <c r="O752" s="1468">
        <v>1.3043336376640857</v>
      </c>
    </row>
    <row r="753" spans="11:15">
      <c r="K753" s="1465">
        <v>42810</v>
      </c>
      <c r="L753" s="1466" t="s">
        <v>2125</v>
      </c>
      <c r="M753" s="1467">
        <v>4.5512999999999998E-2</v>
      </c>
      <c r="N753" s="1468">
        <v>1.3010323937487014</v>
      </c>
      <c r="O753" s="1468">
        <v>1.305018817167287</v>
      </c>
    </row>
    <row r="754" spans="11:15">
      <c r="K754" s="1465">
        <v>42811</v>
      </c>
      <c r="L754" s="1466" t="s">
        <v>2125</v>
      </c>
      <c r="M754" s="1467">
        <v>4.5512999999999998E-2</v>
      </c>
      <c r="N754" s="1468">
        <v>1.3016245326220681</v>
      </c>
      <c r="O754" s="1468">
        <v>1.3057043566021331</v>
      </c>
    </row>
    <row r="755" spans="11:15">
      <c r="K755" s="1465">
        <v>42812</v>
      </c>
      <c r="L755" s="1466"/>
      <c r="M755" s="1467">
        <v>0</v>
      </c>
      <c r="N755" s="1468">
        <v>1.3016245326220681</v>
      </c>
      <c r="O755" s="1468">
        <v>1.3057043566021331</v>
      </c>
    </row>
    <row r="756" spans="11:15">
      <c r="K756" s="1465">
        <v>42813</v>
      </c>
      <c r="L756" s="1466"/>
      <c r="M756" s="1467">
        <v>0</v>
      </c>
      <c r="N756" s="1468">
        <v>1.3016245326220681</v>
      </c>
      <c r="O756" s="1468">
        <v>1.3057043566021331</v>
      </c>
    </row>
    <row r="757" spans="11:15">
      <c r="K757" s="1465">
        <v>42814</v>
      </c>
      <c r="L757" s="1466" t="s">
        <v>2125</v>
      </c>
      <c r="M757" s="1467">
        <v>4.5512999999999998E-2</v>
      </c>
      <c r="N757" s="1468">
        <v>1.3022169409956004</v>
      </c>
      <c r="O757" s="1468">
        <v>1.3063902561576999</v>
      </c>
    </row>
    <row r="758" spans="11:15">
      <c r="K758" s="1465">
        <v>42815</v>
      </c>
      <c r="L758" s="1466" t="s">
        <v>2125</v>
      </c>
      <c r="M758" s="1467">
        <v>4.5512999999999998E-2</v>
      </c>
      <c r="N758" s="1468">
        <v>1.3028096189919556</v>
      </c>
      <c r="O758" s="1468">
        <v>1.3070765160231621</v>
      </c>
    </row>
    <row r="759" spans="11:15">
      <c r="K759" s="1465">
        <v>42816</v>
      </c>
      <c r="L759" s="1466" t="s">
        <v>2125</v>
      </c>
      <c r="M759" s="1467">
        <v>4.5512999999999998E-2</v>
      </c>
      <c r="N759" s="1468">
        <v>1.3034025667338474</v>
      </c>
      <c r="O759" s="1468">
        <v>1.3077631363877942</v>
      </c>
    </row>
    <row r="760" spans="11:15">
      <c r="K760" s="1465">
        <v>42817</v>
      </c>
      <c r="L760" s="1466" t="s">
        <v>2125</v>
      </c>
      <c r="M760" s="1467">
        <v>4.5512999999999998E-2</v>
      </c>
      <c r="N760" s="1468">
        <v>1.3039957843440448</v>
      </c>
      <c r="O760" s="1468">
        <v>1.30845011744097</v>
      </c>
    </row>
    <row r="761" spans="11:15">
      <c r="K761" s="1465">
        <v>42818</v>
      </c>
      <c r="L761" s="1466" t="s">
        <v>2125</v>
      </c>
      <c r="M761" s="1467">
        <v>4.5512999999999998E-2</v>
      </c>
      <c r="N761" s="1468">
        <v>1.3045892719453733</v>
      </c>
      <c r="O761" s="1468">
        <v>1.309137459372163</v>
      </c>
    </row>
    <row r="762" spans="11:15">
      <c r="K762" s="1465">
        <v>42819</v>
      </c>
      <c r="L762" s="1466"/>
      <c r="M762" s="1467">
        <v>0</v>
      </c>
      <c r="N762" s="1468">
        <v>1.3045892719453733</v>
      </c>
      <c r="O762" s="1468">
        <v>1.309137459372163</v>
      </c>
    </row>
    <row r="763" spans="11:15">
      <c r="K763" s="1465">
        <v>42820</v>
      </c>
      <c r="L763" s="1466"/>
      <c r="M763" s="1467">
        <v>0</v>
      </c>
      <c r="N763" s="1468">
        <v>1.3045892719453733</v>
      </c>
      <c r="O763" s="1468">
        <v>1.309137459372163</v>
      </c>
    </row>
    <row r="764" spans="11:15">
      <c r="K764" s="1465">
        <v>42821</v>
      </c>
      <c r="L764" s="1466" t="s">
        <v>2125</v>
      </c>
      <c r="M764" s="1467">
        <v>4.5512999999999998E-2</v>
      </c>
      <c r="N764" s="1468">
        <v>1.3051830296607139</v>
      </c>
      <c r="O764" s="1468">
        <v>1.3098251623709458</v>
      </c>
    </row>
    <row r="765" spans="11:15">
      <c r="K765" s="1465">
        <v>42822</v>
      </c>
      <c r="L765" s="1466" t="s">
        <v>2125</v>
      </c>
      <c r="M765" s="1467">
        <v>4.5512999999999998E-2</v>
      </c>
      <c r="N765" s="1468">
        <v>1.3057770576130032</v>
      </c>
      <c r="O765" s="1468">
        <v>1.310513226626991</v>
      </c>
    </row>
    <row r="766" spans="11:15">
      <c r="K766" s="1465">
        <v>42823</v>
      </c>
      <c r="L766" s="1466" t="s">
        <v>2125</v>
      </c>
      <c r="M766" s="1467">
        <v>4.5512999999999998E-2</v>
      </c>
      <c r="N766" s="1468">
        <v>1.3063713559252346</v>
      </c>
      <c r="O766" s="1468">
        <v>1.3112016523300705</v>
      </c>
    </row>
    <row r="767" spans="11:15">
      <c r="K767" s="1465">
        <v>42824</v>
      </c>
      <c r="L767" s="1466" t="s">
        <v>2125</v>
      </c>
      <c r="M767" s="1467">
        <v>4.5512999999999998E-2</v>
      </c>
      <c r="N767" s="1468">
        <v>1.3069659247204568</v>
      </c>
      <c r="O767" s="1468">
        <v>1.3118904396700559</v>
      </c>
    </row>
    <row r="768" spans="11:15">
      <c r="K768" s="1465">
        <v>42825</v>
      </c>
      <c r="L768" s="1466" t="s">
        <v>2125</v>
      </c>
      <c r="M768" s="1467">
        <v>4.5512999999999998E-2</v>
      </c>
      <c r="N768" s="1468">
        <v>1.3075607641217748</v>
      </c>
      <c r="O768" s="1468">
        <v>1.3125795888369189</v>
      </c>
    </row>
    <row r="769" spans="11:15">
      <c r="K769" s="1465">
        <v>42826</v>
      </c>
      <c r="L769" s="1466"/>
      <c r="M769" s="1467">
        <v>0</v>
      </c>
      <c r="N769" s="1468">
        <v>1.3075607641217748</v>
      </c>
      <c r="O769" s="1468">
        <v>1.3125795888369189</v>
      </c>
    </row>
    <row r="770" spans="11:15">
      <c r="K770" s="1465">
        <v>42827</v>
      </c>
      <c r="L770" s="1466"/>
      <c r="M770" s="1467">
        <v>0</v>
      </c>
      <c r="N770" s="1468">
        <v>1.3075607641217748</v>
      </c>
      <c r="O770" s="1468">
        <v>1.3125795888369189</v>
      </c>
    </row>
    <row r="771" spans="11:15">
      <c r="K771" s="1465">
        <v>42828</v>
      </c>
      <c r="L771" s="1466" t="s">
        <v>2125</v>
      </c>
      <c r="M771" s="1467">
        <v>4.5512999999999998E-2</v>
      </c>
      <c r="N771" s="1468">
        <v>1.3081558742523496</v>
      </c>
      <c r="O771" s="1468">
        <v>1.3132691000207308</v>
      </c>
    </row>
    <row r="772" spans="11:15">
      <c r="K772" s="1465">
        <v>42829</v>
      </c>
      <c r="L772" s="1466" t="s">
        <v>2125</v>
      </c>
      <c r="M772" s="1467">
        <v>4.5512999999999998E-2</v>
      </c>
      <c r="N772" s="1468">
        <v>1.3087512552353979</v>
      </c>
      <c r="O772" s="1468">
        <v>1.3139589734116628</v>
      </c>
    </row>
    <row r="773" spans="11:15">
      <c r="K773" s="1465">
        <v>42830</v>
      </c>
      <c r="L773" s="1466" t="s">
        <v>2125</v>
      </c>
      <c r="M773" s="1467">
        <v>4.5512999999999998E-2</v>
      </c>
      <c r="N773" s="1468">
        <v>1.3093469071941932</v>
      </c>
      <c r="O773" s="1468">
        <v>1.3146492091999857</v>
      </c>
    </row>
    <row r="774" spans="11:15">
      <c r="K774" s="1465">
        <v>42831</v>
      </c>
      <c r="L774" s="1466" t="s">
        <v>2125</v>
      </c>
      <c r="M774" s="1467">
        <v>4.5512999999999998E-2</v>
      </c>
      <c r="N774" s="1468">
        <v>1.3099428302520644</v>
      </c>
      <c r="O774" s="1468">
        <v>1.3153398075760705</v>
      </c>
    </row>
    <row r="775" spans="11:15">
      <c r="K775" s="1465">
        <v>42832</v>
      </c>
      <c r="L775" s="1466" t="s">
        <v>2125</v>
      </c>
      <c r="M775" s="1467">
        <v>4.5512999999999998E-2</v>
      </c>
      <c r="N775" s="1468">
        <v>1.3105390245323969</v>
      </c>
      <c r="O775" s="1468">
        <v>1.3160307687303883</v>
      </c>
    </row>
    <row r="776" spans="11:15">
      <c r="K776" s="1465">
        <v>42833</v>
      </c>
      <c r="L776" s="1466"/>
      <c r="M776" s="1467">
        <v>0</v>
      </c>
      <c r="N776" s="1468">
        <v>1.3105390245323969</v>
      </c>
      <c r="O776" s="1468">
        <v>1.3160307687303883</v>
      </c>
    </row>
    <row r="777" spans="11:15">
      <c r="K777" s="1465">
        <v>42834</v>
      </c>
      <c r="L777" s="1466"/>
      <c r="M777" s="1467">
        <v>0</v>
      </c>
      <c r="N777" s="1468">
        <v>1.3105390245323969</v>
      </c>
      <c r="O777" s="1468">
        <v>1.3160307687303883</v>
      </c>
    </row>
    <row r="778" spans="11:15">
      <c r="K778" s="1465">
        <v>42835</v>
      </c>
      <c r="L778" s="1466" t="s">
        <v>2125</v>
      </c>
      <c r="M778" s="1467">
        <v>4.5512999999999998E-2</v>
      </c>
      <c r="N778" s="1468">
        <v>1.3111354901586323</v>
      </c>
      <c r="O778" s="1468">
        <v>1.3167220928535099</v>
      </c>
    </row>
    <row r="779" spans="11:15">
      <c r="K779" s="1465">
        <v>42836</v>
      </c>
      <c r="L779" s="1466" t="s">
        <v>2125</v>
      </c>
      <c r="M779" s="1467">
        <v>4.5512999999999998E-2</v>
      </c>
      <c r="N779" s="1468">
        <v>1.3117322272542682</v>
      </c>
      <c r="O779" s="1468">
        <v>1.3174137801361068</v>
      </c>
    </row>
    <row r="780" spans="11:15">
      <c r="K780" s="1465">
        <v>42837</v>
      </c>
      <c r="L780" s="1466" t="s">
        <v>2125</v>
      </c>
      <c r="M780" s="1467">
        <v>4.5512999999999998E-2</v>
      </c>
      <c r="N780" s="1468">
        <v>1.3123292359428584</v>
      </c>
      <c r="O780" s="1468">
        <v>1.3181058307689502</v>
      </c>
    </row>
    <row r="781" spans="11:15">
      <c r="K781" s="1465">
        <v>42838</v>
      </c>
      <c r="L781" s="1466" t="s">
        <v>2125</v>
      </c>
      <c r="M781" s="1467">
        <v>4.1957000000000001E-2</v>
      </c>
      <c r="N781" s="1468">
        <v>1.3128798499203831</v>
      </c>
      <c r="O781" s="1468">
        <v>1.3187982449429114</v>
      </c>
    </row>
    <row r="782" spans="11:15">
      <c r="K782" s="1465">
        <v>42839</v>
      </c>
      <c r="L782" s="1466"/>
      <c r="M782" s="1467">
        <v>0</v>
      </c>
      <c r="N782" s="1468">
        <v>1.3128798499203831</v>
      </c>
      <c r="O782" s="1468">
        <v>1.3187982449429114</v>
      </c>
    </row>
    <row r="783" spans="11:15">
      <c r="K783" s="1465">
        <v>42840</v>
      </c>
      <c r="L783" s="1466"/>
      <c r="M783" s="1467">
        <v>0</v>
      </c>
      <c r="N783" s="1468">
        <v>1.3128798499203831</v>
      </c>
      <c r="O783" s="1468">
        <v>1.3187982449429114</v>
      </c>
    </row>
    <row r="784" spans="11:15">
      <c r="K784" s="1465">
        <v>42841</v>
      </c>
      <c r="L784" s="1466"/>
      <c r="M784" s="1467">
        <v>0</v>
      </c>
      <c r="N784" s="1468">
        <v>1.3128798499203831</v>
      </c>
      <c r="O784" s="1468">
        <v>1.3187982449429114</v>
      </c>
    </row>
    <row r="785" spans="11:15">
      <c r="K785" s="1465">
        <v>42842</v>
      </c>
      <c r="L785" s="1466" t="s">
        <v>2125</v>
      </c>
      <c r="M785" s="1467">
        <v>4.1957000000000001E-2</v>
      </c>
      <c r="N785" s="1468">
        <v>1.3134306949190142</v>
      </c>
      <c r="O785" s="1468">
        <v>1.3194910228489625</v>
      </c>
    </row>
    <row r="786" spans="11:15">
      <c r="K786" s="1465">
        <v>42843</v>
      </c>
      <c r="L786" s="1466" t="s">
        <v>2125</v>
      </c>
      <c r="M786" s="1467">
        <v>4.1957000000000001E-2</v>
      </c>
      <c r="N786" s="1468">
        <v>1.3139817710356814</v>
      </c>
      <c r="O786" s="1468">
        <v>1.3201841646781753</v>
      </c>
    </row>
    <row r="787" spans="11:15">
      <c r="K787" s="1465">
        <v>42844</v>
      </c>
      <c r="L787" s="1466" t="s">
        <v>2125</v>
      </c>
      <c r="M787" s="1467">
        <v>4.1957000000000001E-2</v>
      </c>
      <c r="N787" s="1468">
        <v>1.3145330783673548</v>
      </c>
      <c r="O787" s="1468">
        <v>1.3208776706217225</v>
      </c>
    </row>
    <row r="788" spans="11:15">
      <c r="K788" s="1465">
        <v>42845</v>
      </c>
      <c r="L788" s="1466" t="s">
        <v>2125</v>
      </c>
      <c r="M788" s="1467">
        <v>4.1957000000000001E-2</v>
      </c>
      <c r="N788" s="1468">
        <v>1.3150846170110455</v>
      </c>
      <c r="O788" s="1468">
        <v>1.3215715408708768</v>
      </c>
    </row>
    <row r="789" spans="11:15">
      <c r="K789" s="1465">
        <v>42846</v>
      </c>
      <c r="L789" s="1466"/>
      <c r="M789" s="1467">
        <v>0</v>
      </c>
      <c r="N789" s="1468">
        <v>1.3150846170110455</v>
      </c>
      <c r="O789" s="1468">
        <v>1.3215715408708768</v>
      </c>
    </row>
    <row r="790" spans="11:15">
      <c r="K790" s="1465">
        <v>42847</v>
      </c>
      <c r="L790" s="1466"/>
      <c r="M790" s="1467">
        <v>0</v>
      </c>
      <c r="N790" s="1468">
        <v>1.3150846170110455</v>
      </c>
      <c r="O790" s="1468">
        <v>1.3215715408708768</v>
      </c>
    </row>
    <row r="791" spans="11:15">
      <c r="K791" s="1465">
        <v>42848</v>
      </c>
      <c r="L791" s="1466"/>
      <c r="M791" s="1467">
        <v>0</v>
      </c>
      <c r="N791" s="1468">
        <v>1.3150846170110455</v>
      </c>
      <c r="O791" s="1468">
        <v>1.3215715408708768</v>
      </c>
    </row>
    <row r="792" spans="11:15">
      <c r="K792" s="1465">
        <v>42849</v>
      </c>
      <c r="L792" s="1466" t="s">
        <v>2125</v>
      </c>
      <c r="M792" s="1467">
        <v>4.1957000000000001E-2</v>
      </c>
      <c r="N792" s="1468">
        <v>1.3156363870638048</v>
      </c>
      <c r="O792" s="1468">
        <v>1.3222657756170118</v>
      </c>
    </row>
    <row r="793" spans="11:15">
      <c r="K793" s="1465">
        <v>42850</v>
      </c>
      <c r="L793" s="1466" t="s">
        <v>2125</v>
      </c>
      <c r="M793" s="1467">
        <v>4.1957000000000001E-2</v>
      </c>
      <c r="N793" s="1468">
        <v>1.3161883886227252</v>
      </c>
      <c r="O793" s="1468">
        <v>1.322960375051601</v>
      </c>
    </row>
    <row r="794" spans="11:15">
      <c r="K794" s="1465">
        <v>42851</v>
      </c>
      <c r="L794" s="1466" t="s">
        <v>2125</v>
      </c>
      <c r="M794" s="1467">
        <v>4.1957000000000001E-2</v>
      </c>
      <c r="N794" s="1468">
        <v>1.3167406217849398</v>
      </c>
      <c r="O794" s="1468">
        <v>1.3236553393662194</v>
      </c>
    </row>
    <row r="795" spans="11:15">
      <c r="K795" s="1465">
        <v>42852</v>
      </c>
      <c r="L795" s="1466" t="s">
        <v>2125</v>
      </c>
      <c r="M795" s="1467">
        <v>4.1957000000000001E-2</v>
      </c>
      <c r="N795" s="1468">
        <v>1.3172930866476222</v>
      </c>
      <c r="O795" s="1468">
        <v>1.3243506687525419</v>
      </c>
    </row>
    <row r="796" spans="11:15">
      <c r="K796" s="1465">
        <v>42853</v>
      </c>
      <c r="L796" s="1466" t="s">
        <v>2125</v>
      </c>
      <c r="M796" s="1467">
        <v>4.1957000000000001E-2</v>
      </c>
      <c r="N796" s="1468">
        <v>1.3178457833079871</v>
      </c>
      <c r="O796" s="1468">
        <v>1.3250463634023444</v>
      </c>
    </row>
    <row r="797" spans="11:15">
      <c r="K797" s="1465">
        <v>42854</v>
      </c>
      <c r="L797" s="1466"/>
      <c r="M797" s="1467">
        <v>0</v>
      </c>
      <c r="N797" s="1468">
        <v>1.3178457833079871</v>
      </c>
      <c r="O797" s="1468">
        <v>1.3250463634023444</v>
      </c>
    </row>
    <row r="798" spans="11:15">
      <c r="K798" s="1465">
        <v>42855</v>
      </c>
      <c r="L798" s="1466"/>
      <c r="M798" s="1467">
        <v>0</v>
      </c>
      <c r="N798" s="1468">
        <v>1.3178457833079871</v>
      </c>
      <c r="O798" s="1468">
        <v>1.3250463634023444</v>
      </c>
    </row>
    <row r="799" spans="11:15">
      <c r="K799" s="1465">
        <v>42856</v>
      </c>
      <c r="L799" s="1466"/>
      <c r="M799" s="1467">
        <v>0</v>
      </c>
      <c r="N799" s="1468">
        <v>1.3178457833079871</v>
      </c>
      <c r="O799" s="1468">
        <v>1.3250463634023444</v>
      </c>
    </row>
    <row r="800" spans="11:15">
      <c r="K800" s="1465">
        <v>42857</v>
      </c>
      <c r="L800" s="1466" t="s">
        <v>2125</v>
      </c>
      <c r="M800" s="1467">
        <v>4.1957000000000001E-2</v>
      </c>
      <c r="N800" s="1468">
        <v>1.3183987118632896</v>
      </c>
      <c r="O800" s="1468">
        <v>1.3257424235075033</v>
      </c>
    </row>
    <row r="801" spans="11:15">
      <c r="K801" s="1465">
        <v>42858</v>
      </c>
      <c r="L801" s="1466" t="s">
        <v>2125</v>
      </c>
      <c r="M801" s="1467">
        <v>4.1957000000000001E-2</v>
      </c>
      <c r="N801" s="1468">
        <v>1.3189518724108262</v>
      </c>
      <c r="O801" s="1468">
        <v>1.3264388492599959</v>
      </c>
    </row>
    <row r="802" spans="11:15">
      <c r="K802" s="1465">
        <v>42859</v>
      </c>
      <c r="L802" s="1466" t="s">
        <v>2125</v>
      </c>
      <c r="M802" s="1467">
        <v>4.1957000000000001E-2</v>
      </c>
      <c r="N802" s="1468">
        <v>1.3195052650479338</v>
      </c>
      <c r="O802" s="1468">
        <v>1.3271356408519006</v>
      </c>
    </row>
    <row r="803" spans="11:15">
      <c r="K803" s="1465">
        <v>42860</v>
      </c>
      <c r="L803" s="1466" t="s">
        <v>2125</v>
      </c>
      <c r="M803" s="1467">
        <v>4.1957000000000001E-2</v>
      </c>
      <c r="N803" s="1468">
        <v>1.32005888987199</v>
      </c>
      <c r="O803" s="1468">
        <v>1.3278327984753966</v>
      </c>
    </row>
    <row r="804" spans="11:15">
      <c r="K804" s="1465">
        <v>42861</v>
      </c>
      <c r="L804" s="1466"/>
      <c r="M804" s="1467">
        <v>0</v>
      </c>
      <c r="N804" s="1468">
        <v>1.32005888987199</v>
      </c>
      <c r="O804" s="1468">
        <v>1.3278327984753966</v>
      </c>
    </row>
    <row r="805" spans="11:15">
      <c r="K805" s="1465">
        <v>42862</v>
      </c>
      <c r="L805" s="1466"/>
      <c r="M805" s="1467">
        <v>0</v>
      </c>
      <c r="N805" s="1468">
        <v>1.32005888987199</v>
      </c>
      <c r="O805" s="1468">
        <v>1.3278327984753966</v>
      </c>
    </row>
    <row r="806" spans="11:15">
      <c r="K806" s="1465">
        <v>42863</v>
      </c>
      <c r="L806" s="1466" t="s">
        <v>2125</v>
      </c>
      <c r="M806" s="1467">
        <v>4.1957000000000001E-2</v>
      </c>
      <c r="N806" s="1468">
        <v>1.3206127469804136</v>
      </c>
      <c r="O806" s="1468">
        <v>1.3285303223227638</v>
      </c>
    </row>
    <row r="807" spans="11:15">
      <c r="K807" s="1465">
        <v>42864</v>
      </c>
      <c r="L807" s="1466" t="s">
        <v>2125</v>
      </c>
      <c r="M807" s="1467">
        <v>4.1957000000000001E-2</v>
      </c>
      <c r="N807" s="1468">
        <v>1.3211668364706644</v>
      </c>
      <c r="O807" s="1468">
        <v>1.3292282125863832</v>
      </c>
    </row>
    <row r="808" spans="11:15">
      <c r="K808" s="1465">
        <v>42865</v>
      </c>
      <c r="L808" s="1466" t="s">
        <v>2125</v>
      </c>
      <c r="M808" s="1467">
        <v>4.1957000000000001E-2</v>
      </c>
      <c r="N808" s="1468">
        <v>1.3217211584402424</v>
      </c>
      <c r="O808" s="1468">
        <v>1.3299264694587369</v>
      </c>
    </row>
    <row r="809" spans="11:15">
      <c r="K809" s="1465">
        <v>42866</v>
      </c>
      <c r="L809" s="1466" t="s">
        <v>2125</v>
      </c>
      <c r="M809" s="1467">
        <v>4.1957000000000001E-2</v>
      </c>
      <c r="N809" s="1468">
        <v>1.3222757129866893</v>
      </c>
      <c r="O809" s="1468">
        <v>1.3306250931324084</v>
      </c>
    </row>
    <row r="810" spans="11:15">
      <c r="K810" s="1465">
        <v>42867</v>
      </c>
      <c r="L810" s="1466" t="s">
        <v>2125</v>
      </c>
      <c r="M810" s="1467">
        <v>4.1957000000000001E-2</v>
      </c>
      <c r="N810" s="1468">
        <v>1.3228305002075873</v>
      </c>
      <c r="O810" s="1468">
        <v>1.3313240838000817</v>
      </c>
    </row>
    <row r="811" spans="11:15">
      <c r="K811" s="1465">
        <v>42868</v>
      </c>
      <c r="L811" s="1466"/>
      <c r="M811" s="1467">
        <v>0</v>
      </c>
      <c r="N811" s="1468">
        <v>1.3228305002075873</v>
      </c>
      <c r="O811" s="1468">
        <v>1.3313240838000817</v>
      </c>
    </row>
    <row r="812" spans="11:15">
      <c r="K812" s="1465">
        <v>42869</v>
      </c>
      <c r="L812" s="1466"/>
      <c r="M812" s="1467">
        <v>0</v>
      </c>
      <c r="N812" s="1468">
        <v>1.3228305002075873</v>
      </c>
      <c r="O812" s="1468">
        <v>1.3313240838000817</v>
      </c>
    </row>
    <row r="813" spans="11:15">
      <c r="K813" s="1465">
        <v>42870</v>
      </c>
      <c r="L813" s="1466" t="s">
        <v>2125</v>
      </c>
      <c r="M813" s="1467">
        <v>4.1957000000000001E-2</v>
      </c>
      <c r="N813" s="1468">
        <v>1.3233855202005596</v>
      </c>
      <c r="O813" s="1468">
        <v>1.3320234416545427</v>
      </c>
    </row>
    <row r="814" spans="11:15">
      <c r="K814" s="1465">
        <v>42871</v>
      </c>
      <c r="L814" s="1466" t="s">
        <v>2125</v>
      </c>
      <c r="M814" s="1467">
        <v>4.1957000000000001E-2</v>
      </c>
      <c r="N814" s="1468">
        <v>1.3239407730632702</v>
      </c>
      <c r="O814" s="1468">
        <v>1.3327231668886783</v>
      </c>
    </row>
    <row r="815" spans="11:15">
      <c r="K815" s="1465">
        <v>42872</v>
      </c>
      <c r="L815" s="1466" t="s">
        <v>2125</v>
      </c>
      <c r="M815" s="1467">
        <v>4.1957000000000001E-2</v>
      </c>
      <c r="N815" s="1468">
        <v>1.3244962588934244</v>
      </c>
      <c r="O815" s="1468">
        <v>1.3334232596954767</v>
      </c>
    </row>
    <row r="816" spans="11:15">
      <c r="K816" s="1465">
        <v>42873</v>
      </c>
      <c r="L816" s="1466" t="s">
        <v>2125</v>
      </c>
      <c r="M816" s="1467">
        <v>4.1957000000000001E-2</v>
      </c>
      <c r="N816" s="1468">
        <v>1.3250519777887684</v>
      </c>
      <c r="O816" s="1468">
        <v>1.3341237202680274</v>
      </c>
    </row>
    <row r="817" spans="11:15">
      <c r="K817" s="1465">
        <v>42874</v>
      </c>
      <c r="L817" s="1466" t="s">
        <v>2125</v>
      </c>
      <c r="M817" s="1467">
        <v>4.1957000000000001E-2</v>
      </c>
      <c r="N817" s="1468">
        <v>1.3256079298470893</v>
      </c>
      <c r="O817" s="1468">
        <v>1.3348245487995214</v>
      </c>
    </row>
    <row r="818" spans="11:15">
      <c r="K818" s="1465">
        <v>42875</v>
      </c>
      <c r="L818" s="1466"/>
      <c r="M818" s="1467">
        <v>0</v>
      </c>
      <c r="N818" s="1468">
        <v>1.3256079298470893</v>
      </c>
      <c r="O818" s="1468">
        <v>1.3348245487995214</v>
      </c>
    </row>
    <row r="819" spans="11:15">
      <c r="K819" s="1465">
        <v>42876</v>
      </c>
      <c r="L819" s="1466"/>
      <c r="M819" s="1467">
        <v>0</v>
      </c>
      <c r="N819" s="1468">
        <v>1.3256079298470893</v>
      </c>
      <c r="O819" s="1468">
        <v>1.3348245487995214</v>
      </c>
    </row>
    <row r="820" spans="11:15">
      <c r="K820" s="1465">
        <v>42877</v>
      </c>
      <c r="L820" s="1466" t="s">
        <v>2125</v>
      </c>
      <c r="M820" s="1467">
        <v>4.1957000000000001E-2</v>
      </c>
      <c r="N820" s="1468">
        <v>1.3261641151662154</v>
      </c>
      <c r="O820" s="1468">
        <v>1.3355257454832512</v>
      </c>
    </row>
    <row r="821" spans="11:15">
      <c r="K821" s="1465">
        <v>42878</v>
      </c>
      <c r="L821" s="1466" t="s">
        <v>2125</v>
      </c>
      <c r="M821" s="1467">
        <v>4.1957000000000001E-2</v>
      </c>
      <c r="N821" s="1468">
        <v>1.3267205338440158</v>
      </c>
      <c r="O821" s="1468">
        <v>1.336227310512611</v>
      </c>
    </row>
    <row r="822" spans="11:15">
      <c r="K822" s="1465">
        <v>42879</v>
      </c>
      <c r="L822" s="1466" t="s">
        <v>2125</v>
      </c>
      <c r="M822" s="1467">
        <v>4.1957000000000001E-2</v>
      </c>
      <c r="N822" s="1468">
        <v>1.3272771859784007</v>
      </c>
      <c r="O822" s="1468">
        <v>1.3369292440810965</v>
      </c>
    </row>
    <row r="823" spans="11:15">
      <c r="K823" s="1465">
        <v>42880</v>
      </c>
      <c r="L823" s="1466" t="s">
        <v>2125</v>
      </c>
      <c r="M823" s="1467">
        <v>4.1957000000000001E-2</v>
      </c>
      <c r="N823" s="1468">
        <v>1.3278340716673218</v>
      </c>
      <c r="O823" s="1468">
        <v>1.3376315463823047</v>
      </c>
    </row>
    <row r="824" spans="11:15">
      <c r="K824" s="1465">
        <v>42881</v>
      </c>
      <c r="L824" s="1466" t="s">
        <v>2125</v>
      </c>
      <c r="M824" s="1467">
        <v>4.1957000000000001E-2</v>
      </c>
      <c r="N824" s="1468">
        <v>1.3283911910087713</v>
      </c>
      <c r="O824" s="1468">
        <v>1.3383342176099349</v>
      </c>
    </row>
    <row r="825" spans="11:15">
      <c r="K825" s="1465">
        <v>42882</v>
      </c>
      <c r="L825" s="1466"/>
      <c r="M825" s="1467">
        <v>0</v>
      </c>
      <c r="N825" s="1468">
        <v>1.3283911910087713</v>
      </c>
      <c r="O825" s="1468">
        <v>1.3383342176099349</v>
      </c>
    </row>
    <row r="826" spans="11:15">
      <c r="K826" s="1465">
        <v>42883</v>
      </c>
      <c r="L826" s="1466"/>
      <c r="M826" s="1467">
        <v>0</v>
      </c>
      <c r="N826" s="1468">
        <v>1.3283911910087713</v>
      </c>
      <c r="O826" s="1468">
        <v>1.3383342176099349</v>
      </c>
    </row>
    <row r="827" spans="11:15">
      <c r="K827" s="1465">
        <v>42884</v>
      </c>
      <c r="L827" s="1466" t="s">
        <v>2125</v>
      </c>
      <c r="M827" s="1467">
        <v>4.1957000000000001E-2</v>
      </c>
      <c r="N827" s="1468">
        <v>1.3289485441007829</v>
      </c>
      <c r="O827" s="1468">
        <v>1.3390372579577876</v>
      </c>
    </row>
    <row r="828" spans="11:15">
      <c r="K828" s="1465">
        <v>42885</v>
      </c>
      <c r="L828" s="1466" t="s">
        <v>2125</v>
      </c>
      <c r="M828" s="1467">
        <v>4.1957000000000001E-2</v>
      </c>
      <c r="N828" s="1468">
        <v>1.3295061310414313</v>
      </c>
      <c r="O828" s="1468">
        <v>1.3397406676197654</v>
      </c>
    </row>
    <row r="829" spans="11:15">
      <c r="K829" s="1465">
        <v>42886</v>
      </c>
      <c r="L829" s="1466" t="s">
        <v>2125</v>
      </c>
      <c r="M829" s="1467">
        <v>4.1957000000000001E-2</v>
      </c>
      <c r="N829" s="1468">
        <v>1.3300639519288324</v>
      </c>
      <c r="O829" s="1468">
        <v>1.3404444467898728</v>
      </c>
    </row>
    <row r="830" spans="11:15">
      <c r="K830" s="1465">
        <v>42887</v>
      </c>
      <c r="L830" s="1466" t="s">
        <v>2125</v>
      </c>
      <c r="M830" s="1467">
        <v>3.8370000000000001E-2</v>
      </c>
      <c r="N830" s="1468">
        <v>1.3305742974671875</v>
      </c>
      <c r="O830" s="1468">
        <v>1.341148595662216</v>
      </c>
    </row>
    <row r="831" spans="11:15">
      <c r="K831" s="1465">
        <v>42888</v>
      </c>
      <c r="L831" s="1466" t="s">
        <v>2125</v>
      </c>
      <c r="M831" s="1467">
        <v>3.8370000000000001E-2</v>
      </c>
      <c r="N831" s="1468">
        <v>1.3310848388251255</v>
      </c>
      <c r="O831" s="1468">
        <v>1.3418531144310033</v>
      </c>
    </row>
    <row r="832" spans="11:15">
      <c r="K832" s="1465">
        <v>42889</v>
      </c>
      <c r="L832" s="1466"/>
      <c r="M832" s="1467">
        <v>0</v>
      </c>
      <c r="N832" s="1468">
        <v>1.3310848388251255</v>
      </c>
      <c r="O832" s="1468">
        <v>1.3418531144310033</v>
      </c>
    </row>
    <row r="833" spans="11:15">
      <c r="K833" s="1465">
        <v>42890</v>
      </c>
      <c r="L833" s="1466"/>
      <c r="M833" s="1467">
        <v>0</v>
      </c>
      <c r="N833" s="1468">
        <v>1.3310848388251255</v>
      </c>
      <c r="O833" s="1468">
        <v>1.3418531144310033</v>
      </c>
    </row>
    <row r="834" spans="11:15">
      <c r="K834" s="1465">
        <v>42891</v>
      </c>
      <c r="L834" s="1466" t="s">
        <v>2125</v>
      </c>
      <c r="M834" s="1467">
        <v>3.8370000000000001E-2</v>
      </c>
      <c r="N834" s="1468">
        <v>1.3315955760777827</v>
      </c>
      <c r="O834" s="1468">
        <v>1.3425580032905451</v>
      </c>
    </row>
    <row r="835" spans="11:15">
      <c r="K835" s="1465">
        <v>42892</v>
      </c>
      <c r="L835" s="1466" t="s">
        <v>2125</v>
      </c>
      <c r="M835" s="1467">
        <v>3.8370000000000001E-2</v>
      </c>
      <c r="N835" s="1468">
        <v>1.3321065093003237</v>
      </c>
      <c r="O835" s="1468">
        <v>1.3432632624352536</v>
      </c>
    </row>
    <row r="836" spans="11:15">
      <c r="K836" s="1465">
        <v>42893</v>
      </c>
      <c r="L836" s="1466" t="s">
        <v>2125</v>
      </c>
      <c r="M836" s="1467">
        <v>3.8370000000000001E-2</v>
      </c>
      <c r="N836" s="1468">
        <v>1.3326176385679422</v>
      </c>
      <c r="O836" s="1468">
        <v>1.3439688920596435</v>
      </c>
    </row>
    <row r="837" spans="11:15">
      <c r="K837" s="1465">
        <v>42894</v>
      </c>
      <c r="L837" s="1466" t="s">
        <v>2125</v>
      </c>
      <c r="M837" s="1467">
        <v>3.8370000000000001E-2</v>
      </c>
      <c r="N837" s="1468">
        <v>1.3331289639558608</v>
      </c>
      <c r="O837" s="1468">
        <v>1.3446748923583314</v>
      </c>
    </row>
    <row r="838" spans="11:15">
      <c r="K838" s="1465">
        <v>42895</v>
      </c>
      <c r="L838" s="1466" t="s">
        <v>2125</v>
      </c>
      <c r="M838" s="1467">
        <v>3.8370000000000001E-2</v>
      </c>
      <c r="N838" s="1468">
        <v>1.3336404855393307</v>
      </c>
      <c r="O838" s="1468">
        <v>1.345381263526036</v>
      </c>
    </row>
    <row r="839" spans="11:15">
      <c r="K839" s="1465">
        <v>42896</v>
      </c>
      <c r="L839" s="1466"/>
      <c r="M839" s="1467">
        <v>0</v>
      </c>
      <c r="N839" s="1468">
        <v>1.3336404855393307</v>
      </c>
      <c r="O839" s="1468">
        <v>1.345381263526036</v>
      </c>
    </row>
    <row r="840" spans="11:15">
      <c r="K840" s="1465">
        <v>42897</v>
      </c>
      <c r="L840" s="1466"/>
      <c r="M840" s="1467">
        <v>0</v>
      </c>
      <c r="N840" s="1468">
        <v>1.3336404855393307</v>
      </c>
      <c r="O840" s="1468">
        <v>1.345381263526036</v>
      </c>
    </row>
    <row r="841" spans="11:15">
      <c r="K841" s="1465">
        <v>42898</v>
      </c>
      <c r="L841" s="1466" t="s">
        <v>2125</v>
      </c>
      <c r="M841" s="1467">
        <v>3.8370000000000001E-2</v>
      </c>
      <c r="N841" s="1468">
        <v>1.3341522033936322</v>
      </c>
      <c r="O841" s="1468">
        <v>1.3460880057575788</v>
      </c>
    </row>
    <row r="842" spans="11:15">
      <c r="K842" s="1465">
        <v>42899</v>
      </c>
      <c r="L842" s="1466" t="s">
        <v>2125</v>
      </c>
      <c r="M842" s="1467">
        <v>3.8370000000000001E-2</v>
      </c>
      <c r="N842" s="1468">
        <v>1.3346641175940743</v>
      </c>
      <c r="O842" s="1468">
        <v>1.3467951192478833</v>
      </c>
    </row>
    <row r="843" spans="11:15">
      <c r="K843" s="1465">
        <v>42900</v>
      </c>
      <c r="L843" s="1466" t="s">
        <v>2125</v>
      </c>
      <c r="M843" s="1467">
        <v>3.8370000000000001E-2</v>
      </c>
      <c r="N843" s="1468">
        <v>1.3351762282159951</v>
      </c>
      <c r="O843" s="1468">
        <v>1.3475026041919753</v>
      </c>
    </row>
    <row r="844" spans="11:15">
      <c r="K844" s="1465">
        <v>42901</v>
      </c>
      <c r="L844" s="1466"/>
      <c r="M844" s="1467">
        <v>0</v>
      </c>
      <c r="N844" s="1468">
        <v>1.3351762282159951</v>
      </c>
      <c r="O844" s="1468">
        <v>1.3475026041919753</v>
      </c>
    </row>
    <row r="845" spans="11:15">
      <c r="K845" s="1465">
        <v>42902</v>
      </c>
      <c r="L845" s="1466" t="s">
        <v>2125</v>
      </c>
      <c r="M845" s="1467">
        <v>3.8370000000000001E-2</v>
      </c>
      <c r="N845" s="1468">
        <v>1.3356885353347616</v>
      </c>
      <c r="O845" s="1468">
        <v>1.3482104607849834</v>
      </c>
    </row>
    <row r="846" spans="11:15">
      <c r="K846" s="1465">
        <v>42903</v>
      </c>
      <c r="L846" s="1466"/>
      <c r="M846" s="1467">
        <v>0</v>
      </c>
      <c r="N846" s="1468">
        <v>1.3356885353347616</v>
      </c>
      <c r="O846" s="1468">
        <v>1.3482104607849834</v>
      </c>
    </row>
    <row r="847" spans="11:15">
      <c r="K847" s="1465">
        <v>42904</v>
      </c>
      <c r="L847" s="1466"/>
      <c r="M847" s="1467">
        <v>0</v>
      </c>
      <c r="N847" s="1468">
        <v>1.3356885353347616</v>
      </c>
      <c r="O847" s="1468">
        <v>1.3482104607849834</v>
      </c>
    </row>
    <row r="848" spans="11:15">
      <c r="K848" s="1465">
        <v>42905</v>
      </c>
      <c r="L848" s="1466" t="s">
        <v>2125</v>
      </c>
      <c r="M848" s="1467">
        <v>3.8370000000000001E-2</v>
      </c>
      <c r="N848" s="1468">
        <v>1.3362010390257695</v>
      </c>
      <c r="O848" s="1468">
        <v>1.3489186892221383</v>
      </c>
    </row>
    <row r="849" spans="11:15">
      <c r="K849" s="1465">
        <v>42906</v>
      </c>
      <c r="L849" s="1466" t="s">
        <v>2125</v>
      </c>
      <c r="M849" s="1467">
        <v>3.8370000000000001E-2</v>
      </c>
      <c r="N849" s="1468">
        <v>1.3367137393644437</v>
      </c>
      <c r="O849" s="1468">
        <v>1.3496272896987735</v>
      </c>
    </row>
    <row r="850" spans="11:15">
      <c r="K850" s="1465">
        <v>42907</v>
      </c>
      <c r="L850" s="1466" t="s">
        <v>2125</v>
      </c>
      <c r="M850" s="1467">
        <v>3.8370000000000001E-2</v>
      </c>
      <c r="N850" s="1468">
        <v>1.3372266364262377</v>
      </c>
      <c r="O850" s="1468">
        <v>1.3503362624103252</v>
      </c>
    </row>
    <row r="851" spans="11:15">
      <c r="K851" s="1465">
        <v>42908</v>
      </c>
      <c r="L851" s="1466" t="s">
        <v>2125</v>
      </c>
      <c r="M851" s="1467">
        <v>3.8370000000000001E-2</v>
      </c>
      <c r="N851" s="1468">
        <v>1.3377397302866345</v>
      </c>
      <c r="O851" s="1468">
        <v>1.3510456075523321</v>
      </c>
    </row>
    <row r="852" spans="11:15">
      <c r="K852" s="1465">
        <v>42909</v>
      </c>
      <c r="L852" s="1466" t="s">
        <v>2125</v>
      </c>
      <c r="M852" s="1467">
        <v>3.8370000000000001E-2</v>
      </c>
      <c r="N852" s="1468">
        <v>1.3382530210211454</v>
      </c>
      <c r="O852" s="1468">
        <v>1.3517553253204353</v>
      </c>
    </row>
    <row r="853" spans="11:15">
      <c r="K853" s="1465">
        <v>42910</v>
      </c>
      <c r="L853" s="1466"/>
      <c r="M853" s="1467">
        <v>0</v>
      </c>
      <c r="N853" s="1468">
        <v>1.3382530210211454</v>
      </c>
      <c r="O853" s="1468">
        <v>1.3517553253204353</v>
      </c>
    </row>
    <row r="854" spans="11:15">
      <c r="K854" s="1465">
        <v>42911</v>
      </c>
      <c r="L854" s="1466"/>
      <c r="M854" s="1467">
        <v>0</v>
      </c>
      <c r="N854" s="1468">
        <v>1.3382530210211454</v>
      </c>
      <c r="O854" s="1468">
        <v>1.3517553253204353</v>
      </c>
    </row>
    <row r="855" spans="11:15">
      <c r="K855" s="1465">
        <v>42912</v>
      </c>
      <c r="L855" s="1466" t="s">
        <v>2125</v>
      </c>
      <c r="M855" s="1467">
        <v>3.8370000000000001E-2</v>
      </c>
      <c r="N855" s="1468">
        <v>1.3387665087053111</v>
      </c>
      <c r="O855" s="1468">
        <v>1.3524654159103793</v>
      </c>
    </row>
    <row r="856" spans="11:15">
      <c r="K856" s="1465">
        <v>42913</v>
      </c>
      <c r="L856" s="1466" t="s">
        <v>2125</v>
      </c>
      <c r="M856" s="1467">
        <v>3.8370000000000001E-2</v>
      </c>
      <c r="N856" s="1468">
        <v>1.3392801934147014</v>
      </c>
      <c r="O856" s="1468">
        <v>1.3531758795180111</v>
      </c>
    </row>
    <row r="857" spans="11:15">
      <c r="K857" s="1465">
        <v>42914</v>
      </c>
      <c r="L857" s="1466" t="s">
        <v>2125</v>
      </c>
      <c r="M857" s="1467">
        <v>3.8370000000000001E-2</v>
      </c>
      <c r="N857" s="1468">
        <v>1.3397940752249147</v>
      </c>
      <c r="O857" s="1468">
        <v>1.3538867163392807</v>
      </c>
    </row>
    <row r="858" spans="11:15">
      <c r="K858" s="1465">
        <v>42915</v>
      </c>
      <c r="L858" s="1466" t="s">
        <v>2125</v>
      </c>
      <c r="M858" s="1467">
        <v>3.8370000000000001E-2</v>
      </c>
      <c r="N858" s="1468">
        <v>1.3403081542115785</v>
      </c>
      <c r="O858" s="1468">
        <v>1.3545979265702408</v>
      </c>
    </row>
    <row r="859" spans="11:15">
      <c r="K859" s="1465">
        <v>42916</v>
      </c>
      <c r="L859" s="1466" t="s">
        <v>2125</v>
      </c>
      <c r="M859" s="1467">
        <v>3.8370000000000001E-2</v>
      </c>
      <c r="N859" s="1468">
        <v>1.3408224304503493</v>
      </c>
      <c r="O859" s="1468">
        <v>1.3553095104070474</v>
      </c>
    </row>
    <row r="860" spans="11:15">
      <c r="K860" s="1465">
        <v>42917</v>
      </c>
      <c r="L860" s="1466"/>
      <c r="M860" s="1467">
        <v>0</v>
      </c>
      <c r="N860" s="1468">
        <v>1.3408224304503493</v>
      </c>
      <c r="O860" s="1468">
        <v>1.3553095104070474</v>
      </c>
    </row>
    <row r="861" spans="11:15">
      <c r="K861" s="1465">
        <v>42918</v>
      </c>
      <c r="L861" s="1466"/>
      <c r="M861" s="1467">
        <v>0</v>
      </c>
      <c r="N861" s="1468">
        <v>1.3408224304503493</v>
      </c>
      <c r="O861" s="1468">
        <v>1.3553095104070474</v>
      </c>
    </row>
    <row r="862" spans="11:15">
      <c r="K862" s="1465">
        <v>42919</v>
      </c>
      <c r="L862" s="1466" t="s">
        <v>2125</v>
      </c>
      <c r="M862" s="1467">
        <v>3.8370000000000001E-2</v>
      </c>
      <c r="N862" s="1468">
        <v>1.3413369040169132</v>
      </c>
      <c r="O862" s="1468">
        <v>1.3560214680459592</v>
      </c>
    </row>
    <row r="863" spans="11:15">
      <c r="K863" s="1465">
        <v>42920</v>
      </c>
      <c r="L863" s="1466" t="s">
        <v>2125</v>
      </c>
      <c r="M863" s="1467">
        <v>3.8370000000000001E-2</v>
      </c>
      <c r="N863" s="1468">
        <v>1.3418515749869844</v>
      </c>
      <c r="O863" s="1468">
        <v>1.3567337996833384</v>
      </c>
    </row>
    <row r="864" spans="11:15">
      <c r="K864" s="1465">
        <v>42921</v>
      </c>
      <c r="L864" s="1466" t="s">
        <v>2125</v>
      </c>
      <c r="M864" s="1467">
        <v>3.8370000000000001E-2</v>
      </c>
      <c r="N864" s="1468">
        <v>1.342366443436307</v>
      </c>
      <c r="O864" s="1468">
        <v>1.3574465055156502</v>
      </c>
    </row>
    <row r="865" spans="11:15">
      <c r="K865" s="1465">
        <v>42922</v>
      </c>
      <c r="L865" s="1466" t="s">
        <v>2125</v>
      </c>
      <c r="M865" s="1467">
        <v>3.8370000000000001E-2</v>
      </c>
      <c r="N865" s="1468">
        <v>1.3428815094406534</v>
      </c>
      <c r="O865" s="1468">
        <v>1.3581595857394626</v>
      </c>
    </row>
    <row r="866" spans="11:15">
      <c r="K866" s="1465">
        <v>42923</v>
      </c>
      <c r="L866" s="1466" t="s">
        <v>2125</v>
      </c>
      <c r="M866" s="1467">
        <v>3.8370000000000001E-2</v>
      </c>
      <c r="N866" s="1468">
        <v>1.3433967730758258</v>
      </c>
      <c r="O866" s="1468">
        <v>1.3588730405514473</v>
      </c>
    </row>
    <row r="867" spans="11:15">
      <c r="K867" s="1465">
        <v>42924</v>
      </c>
      <c r="L867" s="1466"/>
      <c r="M867" s="1467">
        <v>0</v>
      </c>
      <c r="N867" s="1468">
        <v>1.3433967730758258</v>
      </c>
      <c r="O867" s="1468">
        <v>1.3588730405514473</v>
      </c>
    </row>
    <row r="868" spans="11:15">
      <c r="K868" s="1465">
        <v>42925</v>
      </c>
      <c r="L868" s="1466"/>
      <c r="M868" s="1467">
        <v>0</v>
      </c>
      <c r="N868" s="1468">
        <v>1.3433967730758258</v>
      </c>
      <c r="O868" s="1468">
        <v>1.3588730405514473</v>
      </c>
    </row>
    <row r="869" spans="11:15">
      <c r="K869" s="1465">
        <v>42926</v>
      </c>
      <c r="L869" s="1466" t="s">
        <v>2125</v>
      </c>
      <c r="M869" s="1467">
        <v>3.8370000000000001E-2</v>
      </c>
      <c r="N869" s="1468">
        <v>1.3439122344176551</v>
      </c>
      <c r="O869" s="1468">
        <v>1.3595868701483793</v>
      </c>
    </row>
    <row r="870" spans="11:15">
      <c r="K870" s="1465">
        <v>42927</v>
      </c>
      <c r="L870" s="1466" t="s">
        <v>2125</v>
      </c>
      <c r="M870" s="1467">
        <v>3.8370000000000001E-2</v>
      </c>
      <c r="N870" s="1468">
        <v>1.3444278935420011</v>
      </c>
      <c r="O870" s="1468">
        <v>1.3603010747271369</v>
      </c>
    </row>
    <row r="871" spans="11:15">
      <c r="K871" s="1465">
        <v>42928</v>
      </c>
      <c r="L871" s="1466" t="s">
        <v>2125</v>
      </c>
      <c r="M871" s="1467">
        <v>3.8370000000000001E-2</v>
      </c>
      <c r="N871" s="1468">
        <v>1.3449437505247532</v>
      </c>
      <c r="O871" s="1468">
        <v>1.3610156544847019</v>
      </c>
    </row>
    <row r="872" spans="11:15">
      <c r="K872" s="1465">
        <v>42929</v>
      </c>
      <c r="L872" s="1466" t="s">
        <v>2125</v>
      </c>
      <c r="M872" s="1467">
        <v>3.8370000000000001E-2</v>
      </c>
      <c r="N872" s="1468">
        <v>1.3454598054418296</v>
      </c>
      <c r="O872" s="1468">
        <v>1.3617306096181592</v>
      </c>
    </row>
    <row r="873" spans="11:15">
      <c r="K873" s="1465">
        <v>42930</v>
      </c>
      <c r="L873" s="1466" t="s">
        <v>2125</v>
      </c>
      <c r="M873" s="1467">
        <v>3.8370000000000001E-2</v>
      </c>
      <c r="N873" s="1468">
        <v>1.3459760583691776</v>
      </c>
      <c r="O873" s="1468">
        <v>1.3624459403246978</v>
      </c>
    </row>
    <row r="874" spans="11:15">
      <c r="K874" s="1465">
        <v>42931</v>
      </c>
      <c r="L874" s="1466"/>
      <c r="M874" s="1467">
        <v>0</v>
      </c>
      <c r="N874" s="1468">
        <v>1.3459760583691776</v>
      </c>
      <c r="O874" s="1468">
        <v>1.3624459403246978</v>
      </c>
    </row>
    <row r="875" spans="11:15">
      <c r="K875" s="1465">
        <v>42932</v>
      </c>
      <c r="L875" s="1466"/>
      <c r="M875" s="1467">
        <v>0</v>
      </c>
      <c r="N875" s="1468">
        <v>1.3459760583691776</v>
      </c>
      <c r="O875" s="1468">
        <v>1.3624459403246978</v>
      </c>
    </row>
    <row r="876" spans="11:15">
      <c r="K876" s="1465">
        <v>42933</v>
      </c>
      <c r="L876" s="1466" t="s">
        <v>2125</v>
      </c>
      <c r="M876" s="1467">
        <v>3.8370000000000001E-2</v>
      </c>
      <c r="N876" s="1468">
        <v>1.3464925093827738</v>
      </c>
      <c r="O876" s="1468">
        <v>1.3631616468016097</v>
      </c>
    </row>
    <row r="877" spans="11:15">
      <c r="K877" s="1465">
        <v>42934</v>
      </c>
      <c r="L877" s="1466" t="s">
        <v>2125</v>
      </c>
      <c r="M877" s="1467">
        <v>3.8370000000000001E-2</v>
      </c>
      <c r="N877" s="1468">
        <v>1.3470091585586239</v>
      </c>
      <c r="O877" s="1468">
        <v>1.3638777292462911</v>
      </c>
    </row>
    <row r="878" spans="11:15">
      <c r="K878" s="1465">
        <v>42935</v>
      </c>
      <c r="L878" s="1466" t="s">
        <v>2125</v>
      </c>
      <c r="M878" s="1467">
        <v>3.8370000000000001E-2</v>
      </c>
      <c r="N878" s="1468">
        <v>1.3475260059727627</v>
      </c>
      <c r="O878" s="1468">
        <v>1.3645941878562415</v>
      </c>
    </row>
    <row r="879" spans="11:15">
      <c r="K879" s="1465">
        <v>42936</v>
      </c>
      <c r="L879" s="1466" t="s">
        <v>2125</v>
      </c>
      <c r="M879" s="1467">
        <v>3.8370000000000001E-2</v>
      </c>
      <c r="N879" s="1468">
        <v>1.3480430517012545</v>
      </c>
      <c r="O879" s="1468">
        <v>1.3653110228290644</v>
      </c>
    </row>
    <row r="880" spans="11:15">
      <c r="K880" s="1465">
        <v>42937</v>
      </c>
      <c r="L880" s="1466" t="s">
        <v>2125</v>
      </c>
      <c r="M880" s="1467">
        <v>3.8370000000000001E-2</v>
      </c>
      <c r="N880" s="1468">
        <v>1.3485602958201923</v>
      </c>
      <c r="O880" s="1468">
        <v>1.3660282343624668</v>
      </c>
    </row>
    <row r="881" spans="11:15">
      <c r="K881" s="1465">
        <v>42938</v>
      </c>
      <c r="L881" s="1466"/>
      <c r="M881" s="1467">
        <v>0</v>
      </c>
      <c r="N881" s="1468">
        <v>1.3485602958201923</v>
      </c>
      <c r="O881" s="1468">
        <v>1.3660282343624668</v>
      </c>
    </row>
    <row r="882" spans="11:15">
      <c r="K882" s="1465">
        <v>42939</v>
      </c>
      <c r="L882" s="1466"/>
      <c r="M882" s="1467">
        <v>0</v>
      </c>
      <c r="N882" s="1468">
        <v>1.3485602958201923</v>
      </c>
      <c r="O882" s="1468">
        <v>1.3660282343624668</v>
      </c>
    </row>
    <row r="883" spans="11:15">
      <c r="K883" s="1465">
        <v>42940</v>
      </c>
      <c r="L883" s="1466" t="s">
        <v>2125</v>
      </c>
      <c r="M883" s="1467">
        <v>3.8370000000000001E-2</v>
      </c>
      <c r="N883" s="1468">
        <v>1.3490777384056984</v>
      </c>
      <c r="O883" s="1468">
        <v>1.3667458226542597</v>
      </c>
    </row>
    <row r="884" spans="11:15">
      <c r="K884" s="1465">
        <v>42941</v>
      </c>
      <c r="L884" s="1466" t="s">
        <v>2125</v>
      </c>
      <c r="M884" s="1467">
        <v>3.8370000000000001E-2</v>
      </c>
      <c r="N884" s="1468">
        <v>1.3495953795339246</v>
      </c>
      <c r="O884" s="1468">
        <v>1.3674637879023581</v>
      </c>
    </row>
    <row r="885" spans="11:15">
      <c r="K885" s="1465">
        <v>42942</v>
      </c>
      <c r="L885" s="1466" t="s">
        <v>2125</v>
      </c>
      <c r="M885" s="1467">
        <v>3.8370000000000001E-2</v>
      </c>
      <c r="N885" s="1468">
        <v>1.3501132192810517</v>
      </c>
      <c r="O885" s="1468">
        <v>1.3681821303047812</v>
      </c>
    </row>
    <row r="886" spans="11:15">
      <c r="K886" s="1465">
        <v>42943</v>
      </c>
      <c r="L886" s="1466" t="s">
        <v>2125</v>
      </c>
      <c r="M886" s="1467">
        <v>3.4749000000000002E-2</v>
      </c>
      <c r="N886" s="1468">
        <v>1.3505823701236197</v>
      </c>
      <c r="O886" s="1468">
        <v>1.3689008500596516</v>
      </c>
    </row>
    <row r="887" spans="11:15">
      <c r="K887" s="1465">
        <v>42944</v>
      </c>
      <c r="L887" s="1466" t="s">
        <v>2125</v>
      </c>
      <c r="M887" s="1467">
        <v>3.4749000000000002E-2</v>
      </c>
      <c r="N887" s="1468">
        <v>1.351051683991414</v>
      </c>
      <c r="O887" s="1468">
        <v>1.3696199473651964</v>
      </c>
    </row>
    <row r="888" spans="11:15">
      <c r="K888" s="1465">
        <v>42945</v>
      </c>
      <c r="L888" s="1466"/>
      <c r="M888" s="1467">
        <v>0</v>
      </c>
      <c r="N888" s="1468">
        <v>1.351051683991414</v>
      </c>
      <c r="O888" s="1468">
        <v>1.3696199473651964</v>
      </c>
    </row>
    <row r="889" spans="11:15">
      <c r="K889" s="1465">
        <v>42946</v>
      </c>
      <c r="L889" s="1466"/>
      <c r="M889" s="1467">
        <v>0</v>
      </c>
      <c r="N889" s="1468">
        <v>1.351051683991414</v>
      </c>
      <c r="O889" s="1468">
        <v>1.3696199473651964</v>
      </c>
    </row>
    <row r="890" spans="11:15">
      <c r="K890" s="1465">
        <v>42947</v>
      </c>
      <c r="L890" s="1466" t="s">
        <v>2125</v>
      </c>
      <c r="M890" s="1467">
        <v>3.4749000000000002E-2</v>
      </c>
      <c r="N890" s="1468">
        <v>1.3515211609410842</v>
      </c>
      <c r="O890" s="1468">
        <v>1.3703394224197469</v>
      </c>
    </row>
    <row r="891" spans="11:15">
      <c r="K891" s="1465">
        <v>42948</v>
      </c>
      <c r="L891" s="1466" t="s">
        <v>2125</v>
      </c>
      <c r="M891" s="1467">
        <v>3.4749000000000002E-2</v>
      </c>
      <c r="N891" s="1468">
        <v>1.3519908010292996</v>
      </c>
      <c r="O891" s="1468">
        <v>1.3710592754217383</v>
      </c>
    </row>
    <row r="892" spans="11:15">
      <c r="K892" s="1465">
        <v>42949</v>
      </c>
      <c r="L892" s="1466" t="s">
        <v>2125</v>
      </c>
      <c r="M892" s="1467">
        <v>3.4749000000000002E-2</v>
      </c>
      <c r="N892" s="1468">
        <v>1.3524606043127492</v>
      </c>
      <c r="O892" s="1468">
        <v>1.37177950656971</v>
      </c>
    </row>
    <row r="893" spans="11:15">
      <c r="K893" s="1465">
        <v>42950</v>
      </c>
      <c r="L893" s="1466" t="s">
        <v>2125</v>
      </c>
      <c r="M893" s="1467">
        <v>3.4749000000000002E-2</v>
      </c>
      <c r="N893" s="1468">
        <v>1.3529305708481418</v>
      </c>
      <c r="O893" s="1468">
        <v>1.3725001160623063</v>
      </c>
    </row>
    <row r="894" spans="11:15">
      <c r="K894" s="1465">
        <v>42951</v>
      </c>
      <c r="L894" s="1466" t="s">
        <v>2125</v>
      </c>
      <c r="M894" s="1467">
        <v>3.4749000000000002E-2</v>
      </c>
      <c r="N894" s="1468">
        <v>1.353400700692206</v>
      </c>
      <c r="O894" s="1468">
        <v>1.3732211040982749</v>
      </c>
    </row>
    <row r="895" spans="11:15">
      <c r="K895" s="1465">
        <v>42952</v>
      </c>
      <c r="L895" s="1466"/>
      <c r="M895" s="1467">
        <v>0</v>
      </c>
      <c r="N895" s="1468">
        <v>1.353400700692206</v>
      </c>
      <c r="O895" s="1468">
        <v>1.3732211040982749</v>
      </c>
    </row>
    <row r="896" spans="11:15">
      <c r="K896" s="1465">
        <v>42953</v>
      </c>
      <c r="L896" s="1466"/>
      <c r="M896" s="1467">
        <v>0</v>
      </c>
      <c r="N896" s="1468">
        <v>1.353400700692206</v>
      </c>
      <c r="O896" s="1468">
        <v>1.3732211040982749</v>
      </c>
    </row>
    <row r="897" spans="11:15">
      <c r="K897" s="1465">
        <v>42954</v>
      </c>
      <c r="L897" s="1466" t="s">
        <v>2125</v>
      </c>
      <c r="M897" s="1467">
        <v>3.4749000000000002E-2</v>
      </c>
      <c r="N897" s="1468">
        <v>1.3538709939016895</v>
      </c>
      <c r="O897" s="1468">
        <v>1.3739424708764687</v>
      </c>
    </row>
    <row r="898" spans="11:15">
      <c r="K898" s="1465">
        <v>42955</v>
      </c>
      <c r="L898" s="1466" t="s">
        <v>2125</v>
      </c>
      <c r="M898" s="1467">
        <v>3.4749000000000002E-2</v>
      </c>
      <c r="N898" s="1468">
        <v>1.3543414505333604</v>
      </c>
      <c r="O898" s="1468">
        <v>1.3746642165958449</v>
      </c>
    </row>
    <row r="899" spans="11:15">
      <c r="K899" s="1465">
        <v>42956</v>
      </c>
      <c r="L899" s="1466" t="s">
        <v>2125</v>
      </c>
      <c r="M899" s="1467">
        <v>3.4749000000000002E-2</v>
      </c>
      <c r="N899" s="1468">
        <v>1.3548120706440063</v>
      </c>
      <c r="O899" s="1468">
        <v>1.3753863414554648</v>
      </c>
    </row>
    <row r="900" spans="11:15">
      <c r="K900" s="1465">
        <v>42957</v>
      </c>
      <c r="L900" s="1466" t="s">
        <v>2125</v>
      </c>
      <c r="M900" s="1467">
        <v>3.4749000000000002E-2</v>
      </c>
      <c r="N900" s="1468">
        <v>1.3552828542904345</v>
      </c>
      <c r="O900" s="1468">
        <v>1.3761088456544948</v>
      </c>
    </row>
    <row r="901" spans="11:15">
      <c r="K901" s="1465">
        <v>42958</v>
      </c>
      <c r="L901" s="1466" t="s">
        <v>2125</v>
      </c>
      <c r="M901" s="1467">
        <v>3.4749000000000002E-2</v>
      </c>
      <c r="N901" s="1468">
        <v>1.3557538015294719</v>
      </c>
      <c r="O901" s="1468">
        <v>1.3768317293922054</v>
      </c>
    </row>
    <row r="902" spans="11:15">
      <c r="K902" s="1465">
        <v>42959</v>
      </c>
      <c r="L902" s="1466"/>
      <c r="M902" s="1467">
        <v>0</v>
      </c>
      <c r="N902" s="1468">
        <v>1.3557538015294719</v>
      </c>
      <c r="O902" s="1468">
        <v>1.3768317293922054</v>
      </c>
    </row>
    <row r="903" spans="11:15">
      <c r="K903" s="1465">
        <v>42960</v>
      </c>
      <c r="L903" s="1466"/>
      <c r="M903" s="1467">
        <v>0</v>
      </c>
      <c r="N903" s="1468">
        <v>1.3557538015294719</v>
      </c>
      <c r="O903" s="1468">
        <v>1.3768317293922054</v>
      </c>
    </row>
    <row r="904" spans="11:15">
      <c r="K904" s="1465">
        <v>42961</v>
      </c>
      <c r="L904" s="1466" t="s">
        <v>2125</v>
      </c>
      <c r="M904" s="1467">
        <v>3.4749000000000002E-2</v>
      </c>
      <c r="N904" s="1468">
        <v>1.3562249124179653</v>
      </c>
      <c r="O904" s="1468">
        <v>1.3775549928679724</v>
      </c>
    </row>
    <row r="905" spans="11:15">
      <c r="K905" s="1465">
        <v>42962</v>
      </c>
      <c r="L905" s="1466" t="s">
        <v>2125</v>
      </c>
      <c r="M905" s="1467">
        <v>3.4749000000000002E-2</v>
      </c>
      <c r="N905" s="1468">
        <v>1.3566961870127814</v>
      </c>
      <c r="O905" s="1468">
        <v>1.378278636281276</v>
      </c>
    </row>
    <row r="906" spans="11:15">
      <c r="K906" s="1465">
        <v>42963</v>
      </c>
      <c r="L906" s="1466" t="s">
        <v>2125</v>
      </c>
      <c r="M906" s="1467">
        <v>3.4749000000000002E-2</v>
      </c>
      <c r="N906" s="1468">
        <v>1.3571676253708065</v>
      </c>
      <c r="O906" s="1468">
        <v>1.3790026598317009</v>
      </c>
    </row>
    <row r="907" spans="11:15">
      <c r="K907" s="1465">
        <v>42964</v>
      </c>
      <c r="L907" s="1466" t="s">
        <v>2125</v>
      </c>
      <c r="M907" s="1467">
        <v>3.4749000000000002E-2</v>
      </c>
      <c r="N907" s="1468">
        <v>1.3576392275489466</v>
      </c>
      <c r="O907" s="1468">
        <v>1.3797270637189372</v>
      </c>
    </row>
    <row r="908" spans="11:15">
      <c r="K908" s="1465">
        <v>42965</v>
      </c>
      <c r="L908" s="1466" t="s">
        <v>2125</v>
      </c>
      <c r="M908" s="1467">
        <v>3.4749000000000002E-2</v>
      </c>
      <c r="N908" s="1468">
        <v>1.3581109936041276</v>
      </c>
      <c r="O908" s="1468">
        <v>1.3804518481427794</v>
      </c>
    </row>
    <row r="909" spans="11:15">
      <c r="K909" s="1465">
        <v>42966</v>
      </c>
      <c r="L909" s="1466"/>
      <c r="M909" s="1467">
        <v>0</v>
      </c>
      <c r="N909" s="1468">
        <v>1.3581109936041276</v>
      </c>
      <c r="O909" s="1468">
        <v>1.3804518481427794</v>
      </c>
    </row>
    <row r="910" spans="11:15">
      <c r="K910" s="1465">
        <v>42967</v>
      </c>
      <c r="L910" s="1466"/>
      <c r="M910" s="1467">
        <v>0</v>
      </c>
      <c r="N910" s="1468">
        <v>1.3581109936041276</v>
      </c>
      <c r="O910" s="1468">
        <v>1.3804518481427794</v>
      </c>
    </row>
    <row r="911" spans="11:15">
      <c r="K911" s="1465">
        <v>42968</v>
      </c>
      <c r="L911" s="1466" t="s">
        <v>2125</v>
      </c>
      <c r="M911" s="1467">
        <v>3.4749000000000002E-2</v>
      </c>
      <c r="N911" s="1468">
        <v>1.3585829235932951</v>
      </c>
      <c r="O911" s="1468">
        <v>1.3811770133031274</v>
      </c>
    </row>
    <row r="912" spans="11:15">
      <c r="K912" s="1465">
        <v>42969</v>
      </c>
      <c r="L912" s="1466" t="s">
        <v>2125</v>
      </c>
      <c r="M912" s="1467">
        <v>3.4749000000000002E-2</v>
      </c>
      <c r="N912" s="1468">
        <v>1.3590550175734146</v>
      </c>
      <c r="O912" s="1468">
        <v>1.3819025593999856</v>
      </c>
    </row>
    <row r="913" spans="11:15">
      <c r="K913" s="1465">
        <v>42970</v>
      </c>
      <c r="L913" s="1466" t="s">
        <v>2125</v>
      </c>
      <c r="M913" s="1467">
        <v>3.4749000000000002E-2</v>
      </c>
      <c r="N913" s="1468">
        <v>1.3595272756014711</v>
      </c>
      <c r="O913" s="1468">
        <v>1.3826284866334639</v>
      </c>
    </row>
    <row r="914" spans="11:15">
      <c r="K914" s="1465">
        <v>42971</v>
      </c>
      <c r="L914" s="1466" t="s">
        <v>2125</v>
      </c>
      <c r="M914" s="1467">
        <v>3.4749000000000002E-2</v>
      </c>
      <c r="N914" s="1468">
        <v>1.3599996977344699</v>
      </c>
      <c r="O914" s="1468">
        <v>1.3833547952037775</v>
      </c>
    </row>
    <row r="915" spans="11:15">
      <c r="K915" s="1465">
        <v>42972</v>
      </c>
      <c r="L915" s="1466" t="s">
        <v>2125</v>
      </c>
      <c r="M915" s="1467">
        <v>3.4749000000000002E-2</v>
      </c>
      <c r="N915" s="1468">
        <v>1.3604722840294357</v>
      </c>
      <c r="O915" s="1468">
        <v>1.384081485311246</v>
      </c>
    </row>
    <row r="916" spans="11:15">
      <c r="K916" s="1465">
        <v>42973</v>
      </c>
      <c r="L916" s="1466"/>
      <c r="M916" s="1467">
        <v>0</v>
      </c>
      <c r="N916" s="1468">
        <v>1.3604722840294357</v>
      </c>
      <c r="O916" s="1468">
        <v>1.384081485311246</v>
      </c>
    </row>
    <row r="917" spans="11:15">
      <c r="K917" s="1465">
        <v>42974</v>
      </c>
      <c r="L917" s="1466"/>
      <c r="M917" s="1467">
        <v>0</v>
      </c>
      <c r="N917" s="1468">
        <v>1.3604722840294357</v>
      </c>
      <c r="O917" s="1468">
        <v>1.384081485311246</v>
      </c>
    </row>
    <row r="918" spans="11:15">
      <c r="K918" s="1465">
        <v>42975</v>
      </c>
      <c r="L918" s="1466" t="s">
        <v>2125</v>
      </c>
      <c r="M918" s="1467">
        <v>3.4749000000000002E-2</v>
      </c>
      <c r="N918" s="1468">
        <v>1.3609450345434131</v>
      </c>
      <c r="O918" s="1468">
        <v>1.3848085571562949</v>
      </c>
    </row>
    <row r="919" spans="11:15">
      <c r="K919" s="1465">
        <v>42976</v>
      </c>
      <c r="L919" s="1466" t="s">
        <v>2125</v>
      </c>
      <c r="M919" s="1467">
        <v>3.4749000000000002E-2</v>
      </c>
      <c r="N919" s="1468">
        <v>1.3614179493334666</v>
      </c>
      <c r="O919" s="1468">
        <v>1.3855360109394548</v>
      </c>
    </row>
    <row r="920" spans="11:15">
      <c r="K920" s="1465">
        <v>42977</v>
      </c>
      <c r="L920" s="1466" t="s">
        <v>2125</v>
      </c>
      <c r="M920" s="1467">
        <v>3.4749000000000002E-2</v>
      </c>
      <c r="N920" s="1468">
        <v>1.3618910284566805</v>
      </c>
      <c r="O920" s="1468">
        <v>1.3862638468613613</v>
      </c>
    </row>
    <row r="921" spans="11:15">
      <c r="K921" s="1465">
        <v>42978</v>
      </c>
      <c r="L921" s="1466" t="s">
        <v>2125</v>
      </c>
      <c r="M921" s="1467">
        <v>3.4749000000000002E-2</v>
      </c>
      <c r="N921" s="1468">
        <v>1.362364271970159</v>
      </c>
      <c r="O921" s="1468">
        <v>1.3869920651227561</v>
      </c>
    </row>
    <row r="922" spans="11:15">
      <c r="K922" s="1465">
        <v>42979</v>
      </c>
      <c r="L922" s="1466" t="s">
        <v>2125</v>
      </c>
      <c r="M922" s="1467">
        <v>3.4749000000000002E-2</v>
      </c>
      <c r="N922" s="1468">
        <v>1.3628376799310258</v>
      </c>
      <c r="O922" s="1468">
        <v>1.3877206659244856</v>
      </c>
    </row>
    <row r="923" spans="11:15">
      <c r="K923" s="1465">
        <v>42980</v>
      </c>
      <c r="L923" s="1466"/>
      <c r="M923" s="1467">
        <v>0</v>
      </c>
      <c r="N923" s="1468">
        <v>1.3628376799310258</v>
      </c>
      <c r="O923" s="1468">
        <v>1.3877206659244856</v>
      </c>
    </row>
    <row r="924" spans="11:15">
      <c r="K924" s="1465">
        <v>42981</v>
      </c>
      <c r="L924" s="1466"/>
      <c r="M924" s="1467">
        <v>0</v>
      </c>
      <c r="N924" s="1468">
        <v>1.3628376799310258</v>
      </c>
      <c r="O924" s="1468">
        <v>1.3877206659244856</v>
      </c>
    </row>
    <row r="925" spans="11:15">
      <c r="K925" s="1465">
        <v>42982</v>
      </c>
      <c r="L925" s="1466" t="s">
        <v>2125</v>
      </c>
      <c r="M925" s="1467">
        <v>3.4749000000000002E-2</v>
      </c>
      <c r="N925" s="1468">
        <v>1.363311252396425</v>
      </c>
      <c r="O925" s="1468">
        <v>1.3884496494675025</v>
      </c>
    </row>
    <row r="926" spans="11:15">
      <c r="K926" s="1465">
        <v>42983</v>
      </c>
      <c r="L926" s="1466" t="s">
        <v>2125</v>
      </c>
      <c r="M926" s="1467">
        <v>3.4749000000000002E-2</v>
      </c>
      <c r="N926" s="1468">
        <v>1.3637849894235203</v>
      </c>
      <c r="O926" s="1468">
        <v>1.3891790159528643</v>
      </c>
    </row>
    <row r="927" spans="11:15">
      <c r="K927" s="1465">
        <v>42984</v>
      </c>
      <c r="L927" s="1466" t="s">
        <v>2125</v>
      </c>
      <c r="M927" s="1467">
        <v>3.4749000000000002E-2</v>
      </c>
      <c r="N927" s="1468">
        <v>1.364258891069495</v>
      </c>
      <c r="O927" s="1468">
        <v>1.3899087655817346</v>
      </c>
    </row>
    <row r="928" spans="11:15">
      <c r="K928" s="1465">
        <v>42985</v>
      </c>
      <c r="L928" s="1466"/>
      <c r="M928" s="1467">
        <v>0</v>
      </c>
      <c r="N928" s="1468">
        <v>1.364258891069495</v>
      </c>
      <c r="O928" s="1468">
        <v>1.3899087655817346</v>
      </c>
    </row>
    <row r="929" spans="11:15">
      <c r="K929" s="1465">
        <v>42986</v>
      </c>
      <c r="L929" s="1466" t="s">
        <v>2125</v>
      </c>
      <c r="M929" s="1467">
        <v>3.1095999999999999E-2</v>
      </c>
      <c r="N929" s="1468">
        <v>1.364683121014262</v>
      </c>
      <c r="O929" s="1468">
        <v>1.3906388985553824</v>
      </c>
    </row>
    <row r="930" spans="11:15">
      <c r="K930" s="1465">
        <v>42987</v>
      </c>
      <c r="L930" s="1466"/>
      <c r="M930" s="1467">
        <v>0</v>
      </c>
      <c r="N930" s="1468">
        <v>1.364683121014262</v>
      </c>
      <c r="O930" s="1468">
        <v>1.3906388985553824</v>
      </c>
    </row>
    <row r="931" spans="11:15">
      <c r="K931" s="1465">
        <v>42988</v>
      </c>
      <c r="L931" s="1466"/>
      <c r="M931" s="1467">
        <v>0</v>
      </c>
      <c r="N931" s="1468">
        <v>1.364683121014262</v>
      </c>
      <c r="O931" s="1468">
        <v>1.3906388985553824</v>
      </c>
    </row>
    <row r="932" spans="11:15">
      <c r="K932" s="1465">
        <v>42989</v>
      </c>
      <c r="L932" s="1466" t="s">
        <v>2125</v>
      </c>
      <c r="M932" s="1467">
        <v>3.1095999999999999E-2</v>
      </c>
      <c r="N932" s="1468">
        <v>1.3651074828775727</v>
      </c>
      <c r="O932" s="1468">
        <v>1.3913694150751825</v>
      </c>
    </row>
    <row r="933" spans="11:15">
      <c r="K933" s="1465">
        <v>42990</v>
      </c>
      <c r="L933" s="1466" t="s">
        <v>2125</v>
      </c>
      <c r="M933" s="1467">
        <v>3.1095999999999999E-2</v>
      </c>
      <c r="N933" s="1468">
        <v>1.3655319767004481</v>
      </c>
      <c r="O933" s="1468">
        <v>1.3921003153426157</v>
      </c>
    </row>
    <row r="934" spans="11:15">
      <c r="K934" s="1465">
        <v>42991</v>
      </c>
      <c r="L934" s="1466" t="s">
        <v>2125</v>
      </c>
      <c r="M934" s="1467">
        <v>3.1095999999999999E-2</v>
      </c>
      <c r="N934" s="1468">
        <v>1.3659566025239229</v>
      </c>
      <c r="O934" s="1468">
        <v>1.3928315995592684</v>
      </c>
    </row>
    <row r="935" spans="11:15">
      <c r="K935" s="1465">
        <v>42992</v>
      </c>
      <c r="L935" s="1466" t="s">
        <v>2125</v>
      </c>
      <c r="M935" s="1467">
        <v>3.1095999999999999E-2</v>
      </c>
      <c r="N935" s="1468">
        <v>1.3663813603890438</v>
      </c>
      <c r="O935" s="1468">
        <v>1.3935632679268328</v>
      </c>
    </row>
    <row r="936" spans="11:15">
      <c r="K936" s="1465">
        <v>42993</v>
      </c>
      <c r="L936" s="1466" t="s">
        <v>2125</v>
      </c>
      <c r="M936" s="1467">
        <v>3.1095999999999999E-2</v>
      </c>
      <c r="N936" s="1468">
        <v>1.3668062503368703</v>
      </c>
      <c r="O936" s="1468">
        <v>1.3942953206471074</v>
      </c>
    </row>
    <row r="937" spans="11:15">
      <c r="K937" s="1465">
        <v>42994</v>
      </c>
      <c r="L937" s="1466"/>
      <c r="M937" s="1467">
        <v>0</v>
      </c>
      <c r="N937" s="1468">
        <v>1.3668062503368703</v>
      </c>
      <c r="O937" s="1468">
        <v>1.3942953206471074</v>
      </c>
    </row>
    <row r="938" spans="11:15">
      <c r="K938" s="1465">
        <v>42995</v>
      </c>
      <c r="L938" s="1466"/>
      <c r="M938" s="1467">
        <v>0</v>
      </c>
      <c r="N938" s="1468">
        <v>1.3668062503368703</v>
      </c>
      <c r="O938" s="1468">
        <v>1.3942953206471074</v>
      </c>
    </row>
    <row r="939" spans="11:15">
      <c r="K939" s="1465">
        <v>42996</v>
      </c>
      <c r="L939" s="1466" t="s">
        <v>2125</v>
      </c>
      <c r="M939" s="1467">
        <v>3.1095999999999999E-2</v>
      </c>
      <c r="N939" s="1468">
        <v>1.367231272408475</v>
      </c>
      <c r="O939" s="1468">
        <v>1.3950277579219965</v>
      </c>
    </row>
    <row r="940" spans="11:15">
      <c r="K940" s="1465">
        <v>42997</v>
      </c>
      <c r="L940" s="1466" t="s">
        <v>2125</v>
      </c>
      <c r="M940" s="1467">
        <v>3.1095999999999999E-2</v>
      </c>
      <c r="N940" s="1468">
        <v>1.3676564266449431</v>
      </c>
      <c r="O940" s="1468">
        <v>1.3957605799535104</v>
      </c>
    </row>
    <row r="941" spans="11:15">
      <c r="K941" s="1465">
        <v>42998</v>
      </c>
      <c r="L941" s="1466" t="s">
        <v>2125</v>
      </c>
      <c r="M941" s="1467">
        <v>3.1095999999999999E-2</v>
      </c>
      <c r="N941" s="1468">
        <v>1.3680817130873726</v>
      </c>
      <c r="O941" s="1468">
        <v>1.3964937869437659</v>
      </c>
    </row>
    <row r="942" spans="11:15">
      <c r="K942" s="1465">
        <v>42999</v>
      </c>
      <c r="L942" s="1466" t="s">
        <v>2125</v>
      </c>
      <c r="M942" s="1467">
        <v>3.1095999999999999E-2</v>
      </c>
      <c r="N942" s="1468">
        <v>1.3685071317768742</v>
      </c>
      <c r="O942" s="1468">
        <v>1.3972273790949854</v>
      </c>
    </row>
    <row r="943" spans="11:15">
      <c r="K943" s="1465">
        <v>43000</v>
      </c>
      <c r="L943" s="1466" t="s">
        <v>2125</v>
      </c>
      <c r="M943" s="1467">
        <v>3.1095999999999999E-2</v>
      </c>
      <c r="N943" s="1468">
        <v>1.3689326827545716</v>
      </c>
      <c r="O943" s="1468">
        <v>1.3979613566094977</v>
      </c>
    </row>
    <row r="944" spans="11:15">
      <c r="K944" s="1465">
        <v>43001</v>
      </c>
      <c r="L944" s="1466"/>
      <c r="M944" s="1467">
        <v>0</v>
      </c>
      <c r="N944" s="1468">
        <v>1.3689326827545716</v>
      </c>
      <c r="O944" s="1468">
        <v>1.3979613566094977</v>
      </c>
    </row>
    <row r="945" spans="11:15">
      <c r="K945" s="1465">
        <v>43002</v>
      </c>
      <c r="L945" s="1466"/>
      <c r="M945" s="1467">
        <v>0</v>
      </c>
      <c r="N945" s="1468">
        <v>1.3689326827545716</v>
      </c>
      <c r="O945" s="1468">
        <v>1.3979613566094977</v>
      </c>
    </row>
    <row r="946" spans="11:15">
      <c r="K946" s="1465">
        <v>43003</v>
      </c>
      <c r="L946" s="1466" t="s">
        <v>2125</v>
      </c>
      <c r="M946" s="1467">
        <v>3.1095999999999999E-2</v>
      </c>
      <c r="N946" s="1468">
        <v>1.3693583660616009</v>
      </c>
      <c r="O946" s="1468">
        <v>1.3986957196897383</v>
      </c>
    </row>
    <row r="947" spans="11:15">
      <c r="K947" s="1465">
        <v>43004</v>
      </c>
      <c r="L947" s="1466" t="s">
        <v>2125</v>
      </c>
      <c r="M947" s="1467">
        <v>3.1095999999999999E-2</v>
      </c>
      <c r="N947" s="1468">
        <v>1.3697841817391114</v>
      </c>
      <c r="O947" s="1468">
        <v>1.3994304685382486</v>
      </c>
    </row>
    <row r="948" spans="11:15">
      <c r="K948" s="1465">
        <v>43005</v>
      </c>
      <c r="L948" s="1466" t="s">
        <v>2125</v>
      </c>
      <c r="M948" s="1467">
        <v>3.1095999999999999E-2</v>
      </c>
      <c r="N948" s="1468">
        <v>1.370210129828265</v>
      </c>
      <c r="O948" s="1468">
        <v>1.4001656033576764</v>
      </c>
    </row>
    <row r="949" spans="11:15">
      <c r="K949" s="1465">
        <v>43006</v>
      </c>
      <c r="L949" s="1466" t="s">
        <v>2125</v>
      </c>
      <c r="M949" s="1467">
        <v>3.1095999999999999E-2</v>
      </c>
      <c r="N949" s="1468">
        <v>1.3706362103702363</v>
      </c>
      <c r="O949" s="1468">
        <v>1.4009011243507763</v>
      </c>
    </row>
    <row r="950" spans="11:15">
      <c r="K950" s="1465">
        <v>43007</v>
      </c>
      <c r="L950" s="1466" t="s">
        <v>2125</v>
      </c>
      <c r="M950" s="1467">
        <v>3.1095999999999999E-2</v>
      </c>
      <c r="N950" s="1468">
        <v>1.371062423406213</v>
      </c>
      <c r="O950" s="1468">
        <v>1.401637031720409</v>
      </c>
    </row>
    <row r="951" spans="11:15">
      <c r="K951" s="1465">
        <v>43008</v>
      </c>
      <c r="L951" s="1466"/>
      <c r="M951" s="1467">
        <v>0</v>
      </c>
      <c r="N951" s="1468">
        <v>1.371062423406213</v>
      </c>
      <c r="O951" s="1468">
        <v>1.401637031720409</v>
      </c>
    </row>
    <row r="952" spans="11:15">
      <c r="K952" s="1465">
        <v>43009</v>
      </c>
      <c r="L952" s="1466"/>
      <c r="M952" s="1467">
        <v>0</v>
      </c>
      <c r="N952" s="1468">
        <v>1.371062423406213</v>
      </c>
      <c r="O952" s="1468">
        <v>1.401637031720409</v>
      </c>
    </row>
    <row r="953" spans="11:15">
      <c r="K953" s="1465">
        <v>43010</v>
      </c>
      <c r="L953" s="1466" t="s">
        <v>2125</v>
      </c>
      <c r="M953" s="1467">
        <v>3.1095999999999999E-2</v>
      </c>
      <c r="N953" s="1468">
        <v>1.3714887689773954</v>
      </c>
      <c r="O953" s="1468">
        <v>1.4023733256695421</v>
      </c>
    </row>
    <row r="954" spans="11:15">
      <c r="K954" s="1465">
        <v>43011</v>
      </c>
      <c r="L954" s="1466" t="s">
        <v>2125</v>
      </c>
      <c r="M954" s="1467">
        <v>3.1095999999999999E-2</v>
      </c>
      <c r="N954" s="1468">
        <v>1.3719152471249965</v>
      </c>
      <c r="O954" s="1468">
        <v>1.4031100064012496</v>
      </c>
    </row>
    <row r="955" spans="11:15">
      <c r="K955" s="1465">
        <v>43012</v>
      </c>
      <c r="L955" s="1466" t="s">
        <v>2125</v>
      </c>
      <c r="M955" s="1467">
        <v>3.1095999999999999E-2</v>
      </c>
      <c r="N955" s="1468">
        <v>1.3723418578902424</v>
      </c>
      <c r="O955" s="1468">
        <v>1.4038470741187123</v>
      </c>
    </row>
    <row r="956" spans="11:15">
      <c r="K956" s="1465">
        <v>43013</v>
      </c>
      <c r="L956" s="1466" t="s">
        <v>2125</v>
      </c>
      <c r="M956" s="1467">
        <v>3.1095999999999999E-2</v>
      </c>
      <c r="N956" s="1468">
        <v>1.3727686013143718</v>
      </c>
      <c r="O956" s="1468">
        <v>1.4045845290252177</v>
      </c>
    </row>
    <row r="957" spans="11:15">
      <c r="K957" s="1465">
        <v>43014</v>
      </c>
      <c r="L957" s="1466" t="s">
        <v>2125</v>
      </c>
      <c r="M957" s="1467">
        <v>3.1095999999999999E-2</v>
      </c>
      <c r="N957" s="1468">
        <v>1.3731954774386366</v>
      </c>
      <c r="O957" s="1468">
        <v>1.4053223713241598</v>
      </c>
    </row>
    <row r="958" spans="11:15">
      <c r="K958" s="1465">
        <v>43015</v>
      </c>
      <c r="L958" s="1466"/>
      <c r="M958" s="1467">
        <v>0</v>
      </c>
      <c r="N958" s="1468">
        <v>1.3731954774386366</v>
      </c>
      <c r="O958" s="1468">
        <v>1.4053223713241598</v>
      </c>
    </row>
    <row r="959" spans="11:15">
      <c r="K959" s="1465">
        <v>43016</v>
      </c>
      <c r="L959" s="1466"/>
      <c r="M959" s="1467">
        <v>0</v>
      </c>
      <c r="N959" s="1468">
        <v>1.3731954774386366</v>
      </c>
      <c r="O959" s="1468">
        <v>1.4053223713241598</v>
      </c>
    </row>
    <row r="960" spans="11:15">
      <c r="K960" s="1465">
        <v>43017</v>
      </c>
      <c r="L960" s="1466" t="s">
        <v>2125</v>
      </c>
      <c r="M960" s="1467">
        <v>3.1095999999999999E-2</v>
      </c>
      <c r="N960" s="1468">
        <v>1.3736224863043009</v>
      </c>
      <c r="O960" s="1468">
        <v>1.4060606012190402</v>
      </c>
    </row>
    <row r="961" spans="11:15">
      <c r="K961" s="1465">
        <v>43018</v>
      </c>
      <c r="L961" s="1466" t="s">
        <v>2125</v>
      </c>
      <c r="M961" s="1467">
        <v>3.1095999999999999E-2</v>
      </c>
      <c r="N961" s="1468">
        <v>1.3740496279526422</v>
      </c>
      <c r="O961" s="1468">
        <v>1.4067992189134666</v>
      </c>
    </row>
    <row r="962" spans="11:15">
      <c r="K962" s="1465">
        <v>43019</v>
      </c>
      <c r="L962" s="1466" t="s">
        <v>2125</v>
      </c>
      <c r="M962" s="1467">
        <v>3.1095999999999999E-2</v>
      </c>
      <c r="N962" s="1468">
        <v>1.3744769024249504</v>
      </c>
      <c r="O962" s="1468">
        <v>1.4075382246111541</v>
      </c>
    </row>
    <row r="963" spans="11:15">
      <c r="K963" s="1465">
        <v>43020</v>
      </c>
      <c r="L963" s="1466"/>
      <c r="M963" s="1467">
        <v>0</v>
      </c>
      <c r="N963" s="1468">
        <v>1.3744769024249504</v>
      </c>
      <c r="O963" s="1468">
        <v>1.4075382246111541</v>
      </c>
    </row>
    <row r="964" spans="11:15">
      <c r="K964" s="1465">
        <v>43021</v>
      </c>
      <c r="L964" s="1466" t="s">
        <v>2125</v>
      </c>
      <c r="M964" s="1467">
        <v>3.1095999999999999E-2</v>
      </c>
      <c r="N964" s="1468">
        <v>1.3749043097625284</v>
      </c>
      <c r="O964" s="1468">
        <v>1.4082776185159245</v>
      </c>
    </row>
    <row r="965" spans="11:15">
      <c r="K965" s="1465">
        <v>43022</v>
      </c>
      <c r="L965" s="1466"/>
      <c r="M965" s="1467">
        <v>0</v>
      </c>
      <c r="N965" s="1468">
        <v>1.3749043097625284</v>
      </c>
      <c r="O965" s="1468">
        <v>1.4082776185159245</v>
      </c>
    </row>
    <row r="966" spans="11:15">
      <c r="K966" s="1465">
        <v>43023</v>
      </c>
      <c r="L966" s="1466"/>
      <c r="M966" s="1467">
        <v>0</v>
      </c>
      <c r="N966" s="1468">
        <v>1.3749043097625284</v>
      </c>
      <c r="O966" s="1468">
        <v>1.4082776185159245</v>
      </c>
    </row>
    <row r="967" spans="11:15">
      <c r="K967" s="1465">
        <v>43024</v>
      </c>
      <c r="L967" s="1466" t="s">
        <v>2125</v>
      </c>
      <c r="M967" s="1467">
        <v>3.1095999999999999E-2</v>
      </c>
      <c r="N967" s="1468">
        <v>1.3753318500066922</v>
      </c>
      <c r="O967" s="1468">
        <v>1.4090174008317071</v>
      </c>
    </row>
    <row r="968" spans="11:15">
      <c r="K968" s="1465">
        <v>43025</v>
      </c>
      <c r="L968" s="1466" t="s">
        <v>2125</v>
      </c>
      <c r="M968" s="1467">
        <v>3.1095999999999999E-2</v>
      </c>
      <c r="N968" s="1468">
        <v>1.3757595231987703</v>
      </c>
      <c r="O968" s="1468">
        <v>1.4097575717625381</v>
      </c>
    </row>
    <row r="969" spans="11:15">
      <c r="K969" s="1465">
        <v>43026</v>
      </c>
      <c r="L969" s="1466" t="s">
        <v>2125</v>
      </c>
      <c r="M969" s="1467">
        <v>3.1095999999999999E-2</v>
      </c>
      <c r="N969" s="1468">
        <v>1.3761873293801041</v>
      </c>
      <c r="O969" s="1468">
        <v>1.4104981315125606</v>
      </c>
    </row>
    <row r="970" spans="11:15">
      <c r="K970" s="1465">
        <v>43027</v>
      </c>
      <c r="L970" s="1466" t="s">
        <v>2125</v>
      </c>
      <c r="M970" s="1467">
        <v>3.1095999999999999E-2</v>
      </c>
      <c r="N970" s="1468">
        <v>1.3766152685920481</v>
      </c>
      <c r="O970" s="1468">
        <v>1.4112390802860255</v>
      </c>
    </row>
    <row r="971" spans="11:15">
      <c r="K971" s="1465">
        <v>43028</v>
      </c>
      <c r="L971" s="1466" t="s">
        <v>2125</v>
      </c>
      <c r="M971" s="1467">
        <v>3.1095999999999999E-2</v>
      </c>
      <c r="N971" s="1468">
        <v>1.3770433408759695</v>
      </c>
      <c r="O971" s="1468">
        <v>1.4119804182872906</v>
      </c>
    </row>
    <row r="972" spans="11:15">
      <c r="K972" s="1465">
        <v>43029</v>
      </c>
      <c r="L972" s="1466"/>
      <c r="M972" s="1467">
        <v>0</v>
      </c>
      <c r="N972" s="1468">
        <v>1.3770433408759695</v>
      </c>
      <c r="O972" s="1468">
        <v>1.4119804182872906</v>
      </c>
    </row>
    <row r="973" spans="11:15">
      <c r="K973" s="1465">
        <v>43030</v>
      </c>
      <c r="L973" s="1466"/>
      <c r="M973" s="1467">
        <v>0</v>
      </c>
      <c r="N973" s="1468">
        <v>1.3770433408759695</v>
      </c>
      <c r="O973" s="1468">
        <v>1.4119804182872906</v>
      </c>
    </row>
    <row r="974" spans="11:15">
      <c r="K974" s="1465">
        <v>43031</v>
      </c>
      <c r="L974" s="1466" t="s">
        <v>2125</v>
      </c>
      <c r="M974" s="1467">
        <v>3.1095999999999999E-2</v>
      </c>
      <c r="N974" s="1468">
        <v>1.3774715462732483</v>
      </c>
      <c r="O974" s="1468">
        <v>1.412722145720821</v>
      </c>
    </row>
    <row r="975" spans="11:15">
      <c r="K975" s="1465">
        <v>43032</v>
      </c>
      <c r="L975" s="1466" t="s">
        <v>2125</v>
      </c>
      <c r="M975" s="1467">
        <v>3.1095999999999999E-2</v>
      </c>
      <c r="N975" s="1468">
        <v>1.3778998848252775</v>
      </c>
      <c r="O975" s="1468">
        <v>1.4134642627911895</v>
      </c>
    </row>
    <row r="976" spans="11:15">
      <c r="K976" s="1465">
        <v>43033</v>
      </c>
      <c r="L976" s="1466" t="s">
        <v>2125</v>
      </c>
      <c r="M976" s="1467">
        <v>3.1095999999999999E-2</v>
      </c>
      <c r="N976" s="1468">
        <v>1.3783283565734628</v>
      </c>
      <c r="O976" s="1468">
        <v>1.4142067697030765</v>
      </c>
    </row>
    <row r="977" spans="11:15">
      <c r="K977" s="1465">
        <v>43034</v>
      </c>
      <c r="L977" s="1466" t="s">
        <v>2125</v>
      </c>
      <c r="M977" s="1467">
        <v>2.8333000000000001E-2</v>
      </c>
      <c r="N977" s="1468">
        <v>1.3787188783467308</v>
      </c>
      <c r="O977" s="1468">
        <v>1.4149496666612691</v>
      </c>
    </row>
    <row r="978" spans="11:15">
      <c r="K978" s="1465">
        <v>43035</v>
      </c>
      <c r="L978" s="1466" t="s">
        <v>2125</v>
      </c>
      <c r="M978" s="1467">
        <v>2.8333000000000001E-2</v>
      </c>
      <c r="N978" s="1468">
        <v>1.3791095107665328</v>
      </c>
      <c r="O978" s="1468">
        <v>1.4156929538706629</v>
      </c>
    </row>
    <row r="979" spans="11:15">
      <c r="K979" s="1465">
        <v>43036</v>
      </c>
      <c r="L979" s="1466"/>
      <c r="M979" s="1467">
        <v>0</v>
      </c>
      <c r="N979" s="1468">
        <v>1.3791095107665328</v>
      </c>
      <c r="O979" s="1468">
        <v>1.4156929538706629</v>
      </c>
    </row>
    <row r="980" spans="11:15">
      <c r="K980" s="1465">
        <v>43037</v>
      </c>
      <c r="L980" s="1466"/>
      <c r="M980" s="1467">
        <v>0</v>
      </c>
      <c r="N980" s="1468">
        <v>1.3791095107665328</v>
      </c>
      <c r="O980" s="1468">
        <v>1.4156929538706629</v>
      </c>
    </row>
    <row r="981" spans="11:15">
      <c r="K981" s="1465">
        <v>43038</v>
      </c>
      <c r="L981" s="1466" t="s">
        <v>2125</v>
      </c>
      <c r="M981" s="1467">
        <v>2.8333000000000001E-2</v>
      </c>
      <c r="N981" s="1468">
        <v>1.3795002538642183</v>
      </c>
      <c r="O981" s="1468">
        <v>1.4164366315362606</v>
      </c>
    </row>
    <row r="982" spans="11:15">
      <c r="K982" s="1465">
        <v>43039</v>
      </c>
      <c r="L982" s="1466" t="s">
        <v>2125</v>
      </c>
      <c r="M982" s="1467">
        <v>2.8333000000000001E-2</v>
      </c>
      <c r="N982" s="1468">
        <v>1.3798911076711458</v>
      </c>
      <c r="O982" s="1468">
        <v>1.4171806998631729</v>
      </c>
    </row>
    <row r="983" spans="11:15">
      <c r="K983" s="1465">
        <v>43040</v>
      </c>
      <c r="L983" s="1466" t="s">
        <v>2125</v>
      </c>
      <c r="M983" s="1467">
        <v>2.8333000000000001E-2</v>
      </c>
      <c r="N983" s="1468">
        <v>1.3802820722186822</v>
      </c>
      <c r="O983" s="1468">
        <v>1.417925159056618</v>
      </c>
    </row>
    <row r="984" spans="11:15">
      <c r="K984" s="1465">
        <v>43041</v>
      </c>
      <c r="L984" s="1466"/>
      <c r="M984" s="1467">
        <v>0</v>
      </c>
      <c r="N984" s="1468">
        <v>1.3802820722186822</v>
      </c>
      <c r="O984" s="1468">
        <v>1.417925159056618</v>
      </c>
    </row>
    <row r="985" spans="11:15">
      <c r="K985" s="1465">
        <v>43042</v>
      </c>
      <c r="L985" s="1466" t="s">
        <v>2125</v>
      </c>
      <c r="M985" s="1467">
        <v>2.8333000000000001E-2</v>
      </c>
      <c r="N985" s="1468">
        <v>1.3806731475382039</v>
      </c>
      <c r="O985" s="1468">
        <v>1.418670009321922</v>
      </c>
    </row>
    <row r="986" spans="11:15">
      <c r="K986" s="1465">
        <v>43043</v>
      </c>
      <c r="L986" s="1466"/>
      <c r="M986" s="1467">
        <v>0</v>
      </c>
      <c r="N986" s="1468">
        <v>1.3806731475382039</v>
      </c>
      <c r="O986" s="1468">
        <v>1.418670009321922</v>
      </c>
    </row>
    <row r="987" spans="11:15">
      <c r="K987" s="1465">
        <v>43044</v>
      </c>
      <c r="L987" s="1466"/>
      <c r="M987" s="1467">
        <v>0</v>
      </c>
      <c r="N987" s="1468">
        <v>1.3806731475382039</v>
      </c>
      <c r="O987" s="1468">
        <v>1.418670009321922</v>
      </c>
    </row>
    <row r="988" spans="11:15">
      <c r="K988" s="1465">
        <v>43045</v>
      </c>
      <c r="L988" s="1466" t="s">
        <v>2125</v>
      </c>
      <c r="M988" s="1467">
        <v>2.8333000000000001E-2</v>
      </c>
      <c r="N988" s="1468">
        <v>1.3810643336610959</v>
      </c>
      <c r="O988" s="1468">
        <v>1.4194152508645188</v>
      </c>
    </row>
    <row r="989" spans="11:15">
      <c r="K989" s="1465">
        <v>43046</v>
      </c>
      <c r="L989" s="1466" t="s">
        <v>2125</v>
      </c>
      <c r="M989" s="1467">
        <v>2.8333000000000001E-2</v>
      </c>
      <c r="N989" s="1468">
        <v>1.3814556306187522</v>
      </c>
      <c r="O989" s="1468">
        <v>1.4201608838899504</v>
      </c>
    </row>
    <row r="990" spans="11:15">
      <c r="K990" s="1465">
        <v>43047</v>
      </c>
      <c r="L990" s="1466" t="s">
        <v>2125</v>
      </c>
      <c r="M990" s="1467">
        <v>2.8333000000000001E-2</v>
      </c>
      <c r="N990" s="1468">
        <v>1.3818470384425754</v>
      </c>
      <c r="O990" s="1468">
        <v>1.4209069086038666</v>
      </c>
    </row>
    <row r="991" spans="11:15">
      <c r="K991" s="1465">
        <v>43048</v>
      </c>
      <c r="L991" s="1466" t="s">
        <v>2125</v>
      </c>
      <c r="M991" s="1467">
        <v>2.8333000000000001E-2</v>
      </c>
      <c r="N991" s="1468">
        <v>1.3822385571639773</v>
      </c>
      <c r="O991" s="1468">
        <v>1.4216533252120254</v>
      </c>
    </row>
    <row r="992" spans="11:15">
      <c r="K992" s="1465">
        <v>43049</v>
      </c>
      <c r="L992" s="1466" t="s">
        <v>2125</v>
      </c>
      <c r="M992" s="1467">
        <v>2.8333000000000001E-2</v>
      </c>
      <c r="N992" s="1468">
        <v>1.3826301868143787</v>
      </c>
      <c r="O992" s="1468">
        <v>1.4224001339202925</v>
      </c>
    </row>
    <row r="993" spans="11:15">
      <c r="K993" s="1465">
        <v>43050</v>
      </c>
      <c r="L993" s="1466"/>
      <c r="M993" s="1467">
        <v>0</v>
      </c>
      <c r="N993" s="1468">
        <v>1.3826301868143787</v>
      </c>
      <c r="O993" s="1468">
        <v>1.4224001339202925</v>
      </c>
    </row>
    <row r="994" spans="11:15">
      <c r="K994" s="1465">
        <v>43051</v>
      </c>
      <c r="L994" s="1466"/>
      <c r="M994" s="1467">
        <v>0</v>
      </c>
      <c r="N994" s="1468">
        <v>1.3826301868143787</v>
      </c>
      <c r="O994" s="1468">
        <v>1.4224001339202925</v>
      </c>
    </row>
    <row r="995" spans="11:15">
      <c r="K995" s="1465">
        <v>43052</v>
      </c>
      <c r="L995" s="1466" t="s">
        <v>2125</v>
      </c>
      <c r="M995" s="1467">
        <v>2.8333000000000001E-2</v>
      </c>
      <c r="N995" s="1468">
        <v>1.3830219274252089</v>
      </c>
      <c r="O995" s="1468">
        <v>1.4231473349346422</v>
      </c>
    </row>
    <row r="996" spans="11:15">
      <c r="K996" s="1465">
        <v>43053</v>
      </c>
      <c r="L996" s="1466" t="s">
        <v>2125</v>
      </c>
      <c r="M996" s="1467">
        <v>2.8333000000000001E-2</v>
      </c>
      <c r="N996" s="1468">
        <v>1.3834137790279064</v>
      </c>
      <c r="O996" s="1468">
        <v>1.4238949284611566</v>
      </c>
    </row>
    <row r="997" spans="11:15">
      <c r="K997" s="1465">
        <v>43054</v>
      </c>
      <c r="L997" s="1466"/>
      <c r="M997" s="1467">
        <v>0</v>
      </c>
      <c r="N997" s="1468">
        <v>1.3834137790279064</v>
      </c>
      <c r="O997" s="1468">
        <v>1.4238949284611566</v>
      </c>
    </row>
    <row r="998" spans="11:15">
      <c r="K998" s="1465">
        <v>43055</v>
      </c>
      <c r="L998" s="1466" t="s">
        <v>2125</v>
      </c>
      <c r="M998" s="1467">
        <v>2.8333000000000001E-2</v>
      </c>
      <c r="N998" s="1468">
        <v>1.3838057416539185</v>
      </c>
      <c r="O998" s="1468">
        <v>1.4246429147060264</v>
      </c>
    </row>
    <row r="999" spans="11:15">
      <c r="K999" s="1465">
        <v>43056</v>
      </c>
      <c r="L999" s="1466" t="s">
        <v>2125</v>
      </c>
      <c r="M999" s="1467">
        <v>2.8333000000000001E-2</v>
      </c>
      <c r="N999" s="1468">
        <v>1.3841978153347012</v>
      </c>
      <c r="O999" s="1468">
        <v>1.4253912938755506</v>
      </c>
    </row>
    <row r="1000" spans="11:15">
      <c r="K1000" s="1465">
        <v>43057</v>
      </c>
      <c r="L1000" s="1466"/>
      <c r="M1000" s="1467">
        <v>0</v>
      </c>
      <c r="N1000" s="1468">
        <v>1.3841978153347012</v>
      </c>
      <c r="O1000" s="1468">
        <v>1.4253912938755506</v>
      </c>
    </row>
    <row r="1001" spans="11:15">
      <c r="K1001" s="1465">
        <v>43058</v>
      </c>
      <c r="L1001" s="1466"/>
      <c r="M1001" s="1467">
        <v>0</v>
      </c>
      <c r="N1001" s="1468">
        <v>1.3841978153347012</v>
      </c>
      <c r="O1001" s="1468">
        <v>1.4253912938755506</v>
      </c>
    </row>
    <row r="1002" spans="11:15">
      <c r="K1002" s="1465">
        <v>43059</v>
      </c>
      <c r="L1002" s="1466" t="s">
        <v>2125</v>
      </c>
      <c r="M1002" s="1467">
        <v>2.8333000000000001E-2</v>
      </c>
      <c r="N1002" s="1468">
        <v>1.38459000010172</v>
      </c>
      <c r="O1002" s="1468">
        <v>1.4261400661761363</v>
      </c>
    </row>
    <row r="1003" spans="11:15">
      <c r="K1003" s="1465">
        <v>43060</v>
      </c>
      <c r="L1003" s="1466" t="s">
        <v>2125</v>
      </c>
      <c r="M1003" s="1467">
        <v>2.8333000000000001E-2</v>
      </c>
      <c r="N1003" s="1468">
        <v>1.3849822959864488</v>
      </c>
      <c r="O1003" s="1468">
        <v>1.4268892318142994</v>
      </c>
    </row>
    <row r="1004" spans="11:15">
      <c r="K1004" s="1465">
        <v>43061</v>
      </c>
      <c r="L1004" s="1466" t="s">
        <v>2125</v>
      </c>
      <c r="M1004" s="1467">
        <v>2.8333000000000001E-2</v>
      </c>
      <c r="N1004" s="1468">
        <v>1.3853747030203707</v>
      </c>
      <c r="O1004" s="1468">
        <v>1.4276387909966637</v>
      </c>
    </row>
    <row r="1005" spans="11:15">
      <c r="K1005" s="1465">
        <v>43062</v>
      </c>
      <c r="L1005" s="1466" t="s">
        <v>2125</v>
      </c>
      <c r="M1005" s="1467">
        <v>2.8333000000000001E-2</v>
      </c>
      <c r="N1005" s="1468">
        <v>1.3857672212349774</v>
      </c>
      <c r="O1005" s="1468">
        <v>1.4283887439299621</v>
      </c>
    </row>
    <row r="1006" spans="11:15">
      <c r="K1006" s="1465">
        <v>43063</v>
      </c>
      <c r="L1006" s="1466" t="s">
        <v>2125</v>
      </c>
      <c r="M1006" s="1467">
        <v>2.8333000000000001E-2</v>
      </c>
      <c r="N1006" s="1468">
        <v>1.3861598506617701</v>
      </c>
      <c r="O1006" s="1468">
        <v>1.429139090821036</v>
      </c>
    </row>
    <row r="1007" spans="11:15">
      <c r="K1007" s="1465">
        <v>43064</v>
      </c>
      <c r="L1007" s="1466"/>
      <c r="M1007" s="1467">
        <v>0</v>
      </c>
      <c r="N1007" s="1468">
        <v>1.3861598506617701</v>
      </c>
      <c r="O1007" s="1468">
        <v>1.429139090821036</v>
      </c>
    </row>
    <row r="1008" spans="11:15">
      <c r="K1008" s="1465">
        <v>43065</v>
      </c>
      <c r="L1008" s="1466"/>
      <c r="M1008" s="1467">
        <v>0</v>
      </c>
      <c r="N1008" s="1468">
        <v>1.3861598506617701</v>
      </c>
      <c r="O1008" s="1468">
        <v>1.429139090821036</v>
      </c>
    </row>
    <row r="1009" spans="11:15">
      <c r="K1009" s="1465">
        <v>43066</v>
      </c>
      <c r="L1009" s="1466" t="s">
        <v>2125</v>
      </c>
      <c r="M1009" s="1467">
        <v>2.8333000000000001E-2</v>
      </c>
      <c r="N1009" s="1468">
        <v>1.3865525913322581</v>
      </c>
      <c r="O1009" s="1468">
        <v>1.4298898318768352</v>
      </c>
    </row>
    <row r="1010" spans="11:15">
      <c r="K1010" s="1465">
        <v>43067</v>
      </c>
      <c r="L1010" s="1466" t="s">
        <v>2125</v>
      </c>
      <c r="M1010" s="1467">
        <v>2.8333000000000001E-2</v>
      </c>
      <c r="N1010" s="1468">
        <v>1.3869454432779602</v>
      </c>
      <c r="O1010" s="1468">
        <v>1.4306409673044185</v>
      </c>
    </row>
    <row r="1011" spans="11:15">
      <c r="K1011" s="1465">
        <v>43068</v>
      </c>
      <c r="L1011" s="1466" t="s">
        <v>2125</v>
      </c>
      <c r="M1011" s="1467">
        <v>2.8333000000000001E-2</v>
      </c>
      <c r="N1011" s="1468">
        <v>1.3873384065304042</v>
      </c>
      <c r="O1011" s="1468">
        <v>1.4313924973109531</v>
      </c>
    </row>
    <row r="1012" spans="11:15">
      <c r="K1012" s="1465">
        <v>43069</v>
      </c>
      <c r="L1012" s="1466" t="s">
        <v>2125</v>
      </c>
      <c r="M1012" s="1467">
        <v>2.8333000000000001E-2</v>
      </c>
      <c r="N1012" s="1468">
        <v>1.3877314811211265</v>
      </c>
      <c r="O1012" s="1468">
        <v>1.4321444221037154</v>
      </c>
    </row>
    <row r="1013" spans="11:15">
      <c r="K1013" s="1465">
        <v>43070</v>
      </c>
      <c r="L1013" s="1466" t="s">
        <v>2125</v>
      </c>
      <c r="M1013" s="1467">
        <v>2.8333000000000001E-2</v>
      </c>
      <c r="N1013" s="1468">
        <v>1.3881246670816727</v>
      </c>
      <c r="O1013" s="1468">
        <v>1.4328967418900906</v>
      </c>
    </row>
    <row r="1014" spans="11:15">
      <c r="K1014" s="1465">
        <v>43071</v>
      </c>
      <c r="L1014" s="1466"/>
      <c r="M1014" s="1467">
        <v>0</v>
      </c>
      <c r="N1014" s="1468">
        <v>1.3881246670816727</v>
      </c>
      <c r="O1014" s="1468">
        <v>1.4328967418900906</v>
      </c>
    </row>
    <row r="1015" spans="11:15">
      <c r="K1015" s="1465">
        <v>43072</v>
      </c>
      <c r="L1015" s="1466"/>
      <c r="M1015" s="1467">
        <v>0</v>
      </c>
      <c r="N1015" s="1468">
        <v>1.3881246670816727</v>
      </c>
      <c r="O1015" s="1468">
        <v>1.4328967418900906</v>
      </c>
    </row>
    <row r="1016" spans="11:15">
      <c r="K1016" s="1465">
        <v>43073</v>
      </c>
      <c r="L1016" s="1466" t="s">
        <v>2125</v>
      </c>
      <c r="M1016" s="1467">
        <v>2.8333000000000001E-2</v>
      </c>
      <c r="N1016" s="1468">
        <v>1.388517964443597</v>
      </c>
      <c r="O1016" s="1468">
        <v>1.4336494568775728</v>
      </c>
    </row>
    <row r="1017" spans="11:15">
      <c r="K1017" s="1465">
        <v>43074</v>
      </c>
      <c r="L1017" s="1466" t="s">
        <v>2125</v>
      </c>
      <c r="M1017" s="1467">
        <v>2.8333000000000001E-2</v>
      </c>
      <c r="N1017" s="1468">
        <v>1.3889113732384628</v>
      </c>
      <c r="O1017" s="1468">
        <v>1.4344025672737652</v>
      </c>
    </row>
    <row r="1018" spans="11:15">
      <c r="K1018" s="1465">
        <v>43075</v>
      </c>
      <c r="L1018" s="1466" t="s">
        <v>2125</v>
      </c>
      <c r="M1018" s="1467">
        <v>2.8333000000000001E-2</v>
      </c>
      <c r="N1018" s="1468">
        <v>1.3893048934978425</v>
      </c>
      <c r="O1018" s="1468">
        <v>1.4351560732863797</v>
      </c>
    </row>
    <row r="1019" spans="11:15">
      <c r="K1019" s="1465">
        <v>43076</v>
      </c>
      <c r="L1019" s="1466" t="s">
        <v>2125</v>
      </c>
      <c r="M1019" s="1467">
        <v>2.6481000000000001E-2</v>
      </c>
      <c r="N1019" s="1468">
        <v>1.3896727953266896</v>
      </c>
      <c r="O1019" s="1468">
        <v>1.4359099751232378</v>
      </c>
    </row>
    <row r="1020" spans="11:15">
      <c r="K1020" s="1465">
        <v>43077</v>
      </c>
      <c r="L1020" s="1466" t="s">
        <v>2125</v>
      </c>
      <c r="M1020" s="1467">
        <v>2.6481000000000001E-2</v>
      </c>
      <c r="N1020" s="1468">
        <v>1.39004079457962</v>
      </c>
      <c r="O1020" s="1468">
        <v>1.4366642729922698</v>
      </c>
    </row>
    <row r="1021" spans="11:15">
      <c r="K1021" s="1465">
        <v>43078</v>
      </c>
      <c r="L1021" s="1466"/>
      <c r="M1021" s="1467">
        <v>0</v>
      </c>
      <c r="N1021" s="1468">
        <v>1.39004079457962</v>
      </c>
      <c r="O1021" s="1468">
        <v>1.4366642729922698</v>
      </c>
    </row>
    <row r="1022" spans="11:15">
      <c r="K1022" s="1465">
        <v>43079</v>
      </c>
      <c r="L1022" s="1466"/>
      <c r="M1022" s="1467">
        <v>0</v>
      </c>
      <c r="N1022" s="1468">
        <v>1.39004079457962</v>
      </c>
      <c r="O1022" s="1468">
        <v>1.4366642729922698</v>
      </c>
    </row>
    <row r="1023" spans="11:15">
      <c r="K1023" s="1465">
        <v>43080</v>
      </c>
      <c r="L1023" s="1466" t="s">
        <v>2125</v>
      </c>
      <c r="M1023" s="1467">
        <v>2.6481000000000001E-2</v>
      </c>
      <c r="N1023" s="1468">
        <v>1.3904088912824326</v>
      </c>
      <c r="O1023" s="1468">
        <v>1.4374189671015154</v>
      </c>
    </row>
    <row r="1024" spans="11:15">
      <c r="K1024" s="1465">
        <v>43081</v>
      </c>
      <c r="L1024" s="1466" t="s">
        <v>2125</v>
      </c>
      <c r="M1024" s="1467">
        <v>2.6481000000000001E-2</v>
      </c>
      <c r="N1024" s="1468">
        <v>1.3907770854609331</v>
      </c>
      <c r="O1024" s="1468">
        <v>1.4381740576591235</v>
      </c>
    </row>
    <row r="1025" spans="11:15">
      <c r="K1025" s="1465">
        <v>43082</v>
      </c>
      <c r="L1025" s="1466" t="s">
        <v>2125</v>
      </c>
      <c r="M1025" s="1467">
        <v>2.6481000000000001E-2</v>
      </c>
      <c r="N1025" s="1468">
        <v>1.3911453771409341</v>
      </c>
      <c r="O1025" s="1468">
        <v>1.4389295448733526</v>
      </c>
    </row>
    <row r="1026" spans="11:15">
      <c r="K1026" s="1465">
        <v>43083</v>
      </c>
      <c r="L1026" s="1466" t="s">
        <v>2125</v>
      </c>
      <c r="M1026" s="1467">
        <v>2.6481000000000001E-2</v>
      </c>
      <c r="N1026" s="1468">
        <v>1.3915137663482549</v>
      </c>
      <c r="O1026" s="1468">
        <v>1.43968542895257</v>
      </c>
    </row>
    <row r="1027" spans="11:15">
      <c r="K1027" s="1465">
        <v>43084</v>
      </c>
      <c r="L1027" s="1466" t="s">
        <v>2125</v>
      </c>
      <c r="M1027" s="1467">
        <v>2.6481000000000001E-2</v>
      </c>
      <c r="N1027" s="1468">
        <v>1.3918822531087216</v>
      </c>
      <c r="O1027" s="1468">
        <v>1.4404417101052531</v>
      </c>
    </row>
    <row r="1028" spans="11:15">
      <c r="K1028" s="1465">
        <v>43085</v>
      </c>
      <c r="L1028" s="1466"/>
      <c r="M1028" s="1467">
        <v>0</v>
      </c>
      <c r="N1028" s="1468">
        <v>1.3918822531087216</v>
      </c>
      <c r="O1028" s="1468">
        <v>1.4404417101052531</v>
      </c>
    </row>
    <row r="1029" spans="11:15">
      <c r="K1029" s="1465">
        <v>43086</v>
      </c>
      <c r="L1029" s="1466"/>
      <c r="M1029" s="1467">
        <v>0</v>
      </c>
      <c r="N1029" s="1468">
        <v>1.3918822531087216</v>
      </c>
      <c r="O1029" s="1468">
        <v>1.4404417101052531</v>
      </c>
    </row>
    <row r="1030" spans="11:15">
      <c r="K1030" s="1465">
        <v>43087</v>
      </c>
      <c r="L1030" s="1466" t="s">
        <v>2125</v>
      </c>
      <c r="M1030" s="1467">
        <v>2.6481000000000001E-2</v>
      </c>
      <c r="N1030" s="1468">
        <v>1.3922508374481672</v>
      </c>
      <c r="O1030" s="1468">
        <v>1.4411983885399886</v>
      </c>
    </row>
    <row r="1031" spans="11:15">
      <c r="K1031" s="1465">
        <v>43088</v>
      </c>
      <c r="L1031" s="1466" t="s">
        <v>2125</v>
      </c>
      <c r="M1031" s="1467">
        <v>2.6481000000000001E-2</v>
      </c>
      <c r="N1031" s="1468">
        <v>1.392619519392432</v>
      </c>
      <c r="O1031" s="1468">
        <v>1.4419554644654726</v>
      </c>
    </row>
    <row r="1032" spans="11:15">
      <c r="K1032" s="1465">
        <v>43089</v>
      </c>
      <c r="L1032" s="1466" t="s">
        <v>2125</v>
      </c>
      <c r="M1032" s="1467">
        <v>2.6481000000000001E-2</v>
      </c>
      <c r="N1032" s="1468">
        <v>1.3929882989673623</v>
      </c>
      <c r="O1032" s="1468">
        <v>1.442712938090511</v>
      </c>
    </row>
    <row r="1033" spans="11:15">
      <c r="K1033" s="1465">
        <v>43090</v>
      </c>
      <c r="L1033" s="1466" t="s">
        <v>2125</v>
      </c>
      <c r="M1033" s="1467">
        <v>2.6481000000000001E-2</v>
      </c>
      <c r="N1033" s="1468">
        <v>1.3933571761988119</v>
      </c>
      <c r="O1033" s="1468">
        <v>1.4434708096240194</v>
      </c>
    </row>
    <row r="1034" spans="11:15">
      <c r="K1034" s="1465">
        <v>43091</v>
      </c>
      <c r="L1034" s="1466" t="s">
        <v>2125</v>
      </c>
      <c r="M1034" s="1467">
        <v>2.6481000000000001E-2</v>
      </c>
      <c r="N1034" s="1468">
        <v>1.3937261511126411</v>
      </c>
      <c r="O1034" s="1468">
        <v>1.444229079275023</v>
      </c>
    </row>
    <row r="1035" spans="11:15">
      <c r="K1035" s="1465">
        <v>43092</v>
      </c>
      <c r="L1035" s="1466"/>
      <c r="M1035" s="1467">
        <v>0</v>
      </c>
      <c r="N1035" s="1468">
        <v>1.3937261511126411</v>
      </c>
      <c r="O1035" s="1468">
        <v>1.444229079275023</v>
      </c>
    </row>
    <row r="1036" spans="11:15">
      <c r="K1036" s="1465">
        <v>43093</v>
      </c>
      <c r="L1036" s="1466"/>
      <c r="M1036" s="1467">
        <v>0</v>
      </c>
      <c r="N1036" s="1468">
        <v>1.3937261511126411</v>
      </c>
      <c r="O1036" s="1468">
        <v>1.444229079275023</v>
      </c>
    </row>
    <row r="1037" spans="11:15">
      <c r="K1037" s="1465">
        <v>43094</v>
      </c>
      <c r="L1037" s="1466"/>
      <c r="M1037" s="1467">
        <v>0</v>
      </c>
      <c r="N1037" s="1468">
        <v>1.3937261511126411</v>
      </c>
      <c r="O1037" s="1468">
        <v>1.444229079275023</v>
      </c>
    </row>
    <row r="1038" spans="11:15">
      <c r="K1038" s="1465">
        <v>43095</v>
      </c>
      <c r="L1038" s="1466" t="s">
        <v>2125</v>
      </c>
      <c r="M1038" s="1467">
        <v>2.6481000000000001E-2</v>
      </c>
      <c r="N1038" s="1468">
        <v>1.3940952237347173</v>
      </c>
      <c r="O1038" s="1468">
        <v>1.4449877472526569</v>
      </c>
    </row>
    <row r="1039" spans="11:15">
      <c r="K1039" s="1465">
        <v>43096</v>
      </c>
      <c r="L1039" s="1466" t="s">
        <v>2125</v>
      </c>
      <c r="M1039" s="1467">
        <v>2.6481000000000001E-2</v>
      </c>
      <c r="N1039" s="1468">
        <v>1.3944643940909145</v>
      </c>
      <c r="O1039" s="1468">
        <v>1.4457468137661662</v>
      </c>
    </row>
    <row r="1040" spans="11:15">
      <c r="K1040" s="1465">
        <v>43097</v>
      </c>
      <c r="L1040" s="1466" t="s">
        <v>2125</v>
      </c>
      <c r="M1040" s="1467">
        <v>2.6481000000000001E-2</v>
      </c>
      <c r="N1040" s="1468">
        <v>1.3948336622071138</v>
      </c>
      <c r="O1040" s="1468">
        <v>1.4465062790249057</v>
      </c>
    </row>
    <row r="1041" spans="11:15">
      <c r="K1041" s="1465">
        <v>43098</v>
      </c>
      <c r="L1041" s="1466" t="s">
        <v>2125</v>
      </c>
      <c r="M1041" s="1467">
        <v>2.6481000000000001E-2</v>
      </c>
      <c r="N1041" s="1468">
        <v>1.3952030281092029</v>
      </c>
      <c r="O1041" s="1468">
        <v>1.4472661432383402</v>
      </c>
    </row>
    <row r="1042" spans="11:15">
      <c r="K1042" s="1465">
        <v>43099</v>
      </c>
      <c r="L1042" s="1466"/>
      <c r="M1042" s="1467">
        <v>0</v>
      </c>
      <c r="N1042" s="1468">
        <v>1.3952030281092029</v>
      </c>
      <c r="O1042" s="1468">
        <v>1.4472661432383402</v>
      </c>
    </row>
    <row r="1043" spans="11:15">
      <c r="K1043" s="1465">
        <v>43100</v>
      </c>
      <c r="L1043" s="1466"/>
      <c r="M1043" s="1467">
        <v>0</v>
      </c>
      <c r="N1043" s="1468">
        <v>1.3952030281092029</v>
      </c>
      <c r="O1043" s="1468">
        <v>1.4472661432383402</v>
      </c>
    </row>
    <row r="1044" spans="11:15">
      <c r="K1044" s="1465">
        <v>43101</v>
      </c>
      <c r="L1044" s="1466"/>
      <c r="M1044" s="1467">
        <v>0</v>
      </c>
      <c r="N1044" s="1468">
        <v>1.3952030281092029</v>
      </c>
      <c r="O1044" s="1468">
        <v>1.4472661432383402</v>
      </c>
    </row>
    <row r="1045" spans="11:15">
      <c r="K1045" s="1465">
        <v>43102</v>
      </c>
      <c r="L1045" s="1466" t="s">
        <v>2125</v>
      </c>
      <c r="M1045" s="1467">
        <v>2.6481000000000001E-2</v>
      </c>
      <c r="N1045" s="1468">
        <v>1.3955724918230765</v>
      </c>
      <c r="O1045" s="1468"/>
    </row>
    <row r="1046" spans="11:15">
      <c r="K1046" s="1465">
        <v>43103</v>
      </c>
      <c r="L1046" s="1466" t="s">
        <v>2125</v>
      </c>
      <c r="M1046" s="1467">
        <v>2.6481000000000001E-2</v>
      </c>
      <c r="N1046" s="1468">
        <v>1.3959420533746363</v>
      </c>
      <c r="O1046" s="1468"/>
    </row>
    <row r="1047" spans="11:15">
      <c r="K1047" s="1465">
        <v>43104</v>
      </c>
      <c r="L1047" s="1466" t="s">
        <v>2125</v>
      </c>
      <c r="M1047" s="1467">
        <v>2.6481000000000001E-2</v>
      </c>
      <c r="N1047" s="1468">
        <v>1.3963117127897904</v>
      </c>
      <c r="O1047" s="1468"/>
    </row>
    <row r="1048" spans="11:15">
      <c r="K1048" s="1465">
        <v>43105</v>
      </c>
      <c r="L1048" s="1466" t="s">
        <v>2125</v>
      </c>
      <c r="M1048" s="1467">
        <v>2.6481000000000001E-2</v>
      </c>
      <c r="N1048" s="1468">
        <v>1.3966814700944543</v>
      </c>
      <c r="O1048" s="1468"/>
    </row>
    <row r="1049" spans="11:15">
      <c r="K1049" s="1465">
        <v>43106</v>
      </c>
      <c r="L1049" s="1466"/>
      <c r="M1049" s="1467">
        <v>0</v>
      </c>
      <c r="N1049" s="1468">
        <v>1.3966814700944543</v>
      </c>
      <c r="O1049" s="1468"/>
    </row>
    <row r="1050" spans="11:15">
      <c r="K1050" s="1465">
        <v>43107</v>
      </c>
      <c r="L1050" s="1466"/>
      <c r="M1050" s="1467">
        <v>0</v>
      </c>
      <c r="N1050" s="1468">
        <v>1.3966814700944543</v>
      </c>
      <c r="O1050" s="1468"/>
    </row>
    <row r="1051" spans="11:15">
      <c r="K1051" s="1465">
        <v>43108</v>
      </c>
      <c r="L1051" s="1466" t="s">
        <v>2125</v>
      </c>
      <c r="M1051" s="1467">
        <v>2.6481000000000001E-2</v>
      </c>
      <c r="N1051" s="1468">
        <v>1.39705132531455</v>
      </c>
      <c r="O1051" s="1468"/>
    </row>
    <row r="1052" spans="11:15">
      <c r="K1052" s="1465">
        <v>43109</v>
      </c>
      <c r="L1052" s="1466" t="s">
        <v>2125</v>
      </c>
      <c r="M1052" s="1467">
        <v>2.6481000000000001E-2</v>
      </c>
      <c r="N1052" s="1468">
        <v>1.3974212784760065</v>
      </c>
      <c r="O1052" s="1468"/>
    </row>
    <row r="1053" spans="11:15">
      <c r="K1053" s="1465">
        <v>43110</v>
      </c>
      <c r="L1053" s="1466" t="s">
        <v>2125</v>
      </c>
      <c r="M1053" s="1467">
        <v>2.6481000000000001E-2</v>
      </c>
      <c r="N1053" s="1468">
        <v>1.3977913296047597</v>
      </c>
      <c r="O1053" s="1468"/>
    </row>
    <row r="1054" spans="11:15">
      <c r="K1054" s="1465">
        <v>43111</v>
      </c>
      <c r="L1054" s="1466" t="s">
        <v>2125</v>
      </c>
      <c r="M1054" s="1467">
        <v>2.6481000000000001E-2</v>
      </c>
      <c r="N1054" s="1468">
        <v>1.3981614787267524</v>
      </c>
      <c r="O1054" s="1468"/>
    </row>
    <row r="1055" spans="11:15">
      <c r="K1055" s="1465">
        <v>43112</v>
      </c>
      <c r="L1055" s="1466" t="s">
        <v>2125</v>
      </c>
      <c r="M1055" s="1467">
        <v>2.6481000000000001E-2</v>
      </c>
      <c r="N1055" s="1468">
        <v>1.3985317258679342</v>
      </c>
      <c r="O1055" s="1468"/>
    </row>
    <row r="1056" spans="11:15">
      <c r="K1056" s="1465">
        <v>43113</v>
      </c>
      <c r="L1056" s="1466"/>
      <c r="M1056" s="1467">
        <v>0</v>
      </c>
      <c r="N1056" s="1468">
        <v>1.3985317258679342</v>
      </c>
      <c r="O1056" s="1468"/>
    </row>
    <row r="1057" spans="11:15">
      <c r="K1057" s="1465">
        <v>43114</v>
      </c>
      <c r="L1057" s="1466"/>
      <c r="M1057" s="1467">
        <v>0</v>
      </c>
      <c r="N1057" s="1468">
        <v>1.3985317258679342</v>
      </c>
      <c r="O1057" s="1468"/>
    </row>
    <row r="1058" spans="11:15">
      <c r="K1058" s="1465">
        <v>43115</v>
      </c>
      <c r="L1058" s="1466" t="s">
        <v>2125</v>
      </c>
      <c r="M1058" s="1467">
        <v>2.6481000000000001E-2</v>
      </c>
      <c r="N1058" s="1468">
        <v>1.3989020710542612</v>
      </c>
      <c r="O1058" s="1468"/>
    </row>
    <row r="1059" spans="11:15">
      <c r="K1059" s="1465">
        <v>43116</v>
      </c>
      <c r="L1059" s="1466" t="s">
        <v>2125</v>
      </c>
      <c r="M1059" s="1467">
        <v>2.6481000000000001E-2</v>
      </c>
      <c r="N1059" s="1468">
        <v>1.3992725143116971</v>
      </c>
      <c r="O1059" s="1468"/>
    </row>
    <row r="1060" spans="11:15">
      <c r="K1060" s="1465">
        <v>43117</v>
      </c>
      <c r="L1060" s="1466" t="s">
        <v>2125</v>
      </c>
      <c r="M1060" s="1467">
        <v>2.6481000000000001E-2</v>
      </c>
      <c r="N1060" s="1468">
        <v>1.3996430556662121</v>
      </c>
      <c r="O1060" s="1468"/>
    </row>
    <row r="1061" spans="11:15">
      <c r="K1061" s="1465">
        <v>43118</v>
      </c>
      <c r="L1061" s="1466" t="s">
        <v>2125</v>
      </c>
      <c r="M1061" s="1467">
        <v>2.6481000000000001E-2</v>
      </c>
      <c r="N1061" s="1468">
        <v>1.4000136951437829</v>
      </c>
      <c r="O1061" s="1468"/>
    </row>
    <row r="1062" spans="11:15">
      <c r="K1062" s="1465">
        <v>43119</v>
      </c>
      <c r="L1062" s="1466" t="s">
        <v>2125</v>
      </c>
      <c r="M1062" s="1467">
        <v>2.6481000000000001E-2</v>
      </c>
      <c r="N1062" s="1468">
        <v>1.400384432770394</v>
      </c>
      <c r="O1062" s="1468"/>
    </row>
    <row r="1063" spans="11:15">
      <c r="K1063" s="1465">
        <v>43120</v>
      </c>
      <c r="L1063" s="1466"/>
      <c r="M1063" s="1467">
        <v>0</v>
      </c>
      <c r="N1063" s="1468">
        <v>1.400384432770394</v>
      </c>
      <c r="O1063" s="1468"/>
    </row>
    <row r="1064" spans="11:15">
      <c r="K1064" s="1465">
        <v>43121</v>
      </c>
      <c r="L1064" s="1466"/>
      <c r="M1064" s="1467">
        <v>0</v>
      </c>
      <c r="N1064" s="1468">
        <v>1.400384432770394</v>
      </c>
      <c r="O1064" s="1468"/>
    </row>
    <row r="1065" spans="11:15">
      <c r="K1065" s="1465">
        <v>43122</v>
      </c>
      <c r="L1065" s="1466" t="s">
        <v>2125</v>
      </c>
      <c r="M1065" s="1467">
        <v>2.6481000000000001E-2</v>
      </c>
      <c r="N1065" s="1468">
        <v>1.4007552685720359</v>
      </c>
      <c r="O1065" s="1468"/>
    </row>
    <row r="1066" spans="11:15">
      <c r="K1066" s="1465">
        <v>43123</v>
      </c>
      <c r="L1066" s="1466" t="s">
        <v>2125</v>
      </c>
      <c r="M1066" s="1467">
        <v>2.6481000000000001E-2</v>
      </c>
      <c r="N1066" s="1468">
        <v>1.4011262025747064</v>
      </c>
      <c r="O1066" s="1468"/>
    </row>
    <row r="1067" spans="11:15">
      <c r="K1067" s="1465">
        <v>43124</v>
      </c>
      <c r="L1067" s="1466" t="s">
        <v>2125</v>
      </c>
      <c r="M1067" s="1467">
        <v>2.6481000000000001E-2</v>
      </c>
      <c r="N1067" s="1468">
        <v>1.4014972348044104</v>
      </c>
      <c r="O1067" s="1468"/>
    </row>
    <row r="1068" spans="11:15">
      <c r="K1068" s="1465">
        <v>43125</v>
      </c>
      <c r="L1068" s="1466" t="s">
        <v>2125</v>
      </c>
      <c r="M1068" s="1467">
        <v>2.6481000000000001E-2</v>
      </c>
      <c r="N1068" s="1468">
        <v>1.4018683652871589</v>
      </c>
      <c r="O1068" s="1468"/>
    </row>
    <row r="1069" spans="11:15">
      <c r="K1069" s="1465">
        <v>43126</v>
      </c>
      <c r="L1069" s="1466" t="s">
        <v>2125</v>
      </c>
      <c r="M1069" s="1467">
        <v>2.6481000000000001E-2</v>
      </c>
      <c r="N1069" s="1468">
        <v>1.4022395940489705</v>
      </c>
      <c r="O1069" s="1468"/>
    </row>
    <row r="1070" spans="11:15">
      <c r="K1070" s="1465">
        <v>43127</v>
      </c>
      <c r="L1070" s="1466"/>
      <c r="M1070" s="1467">
        <v>0</v>
      </c>
      <c r="N1070" s="1468">
        <v>1.4022395940489705</v>
      </c>
      <c r="O1070" s="1468"/>
    </row>
    <row r="1071" spans="11:15">
      <c r="K1071" s="1465">
        <v>43128</v>
      </c>
      <c r="L1071" s="1466"/>
      <c r="M1071" s="1467">
        <v>0</v>
      </c>
      <c r="N1071" s="1468">
        <v>1.4022395940489705</v>
      </c>
      <c r="O1071" s="1468"/>
    </row>
    <row r="1072" spans="11:15">
      <c r="K1072" s="1465">
        <v>43129</v>
      </c>
      <c r="L1072" s="1466" t="s">
        <v>2125</v>
      </c>
      <c r="M1072" s="1467">
        <v>2.6481000000000001E-2</v>
      </c>
      <c r="N1072" s="1468">
        <v>1.4026109211158706</v>
      </c>
      <c r="O1072" s="1468"/>
    </row>
    <row r="1073" spans="11:15">
      <c r="K1073" s="1465">
        <v>43130</v>
      </c>
      <c r="L1073" s="1466" t="s">
        <v>2125</v>
      </c>
      <c r="M1073" s="1467">
        <v>2.6481000000000001E-2</v>
      </c>
      <c r="N1073" s="1468">
        <v>1.4029823465138913</v>
      </c>
      <c r="O1073" s="1468"/>
    </row>
    <row r="1074" spans="11:15">
      <c r="K1074" s="1465">
        <v>43131</v>
      </c>
      <c r="L1074" s="1466" t="s">
        <v>2125</v>
      </c>
      <c r="M1074" s="1467">
        <v>2.6481000000000001E-2</v>
      </c>
      <c r="N1074" s="1468">
        <v>1.4033538702690718</v>
      </c>
      <c r="O1074" s="1468"/>
    </row>
    <row r="1075" spans="11:15">
      <c r="K1075" s="1465">
        <v>43132</v>
      </c>
      <c r="L1075" s="1466" t="s">
        <v>2125</v>
      </c>
      <c r="M1075" s="1467">
        <v>2.6481000000000001E-2</v>
      </c>
      <c r="N1075" s="1468">
        <v>1.4037254924074578</v>
      </c>
      <c r="O1075" s="1468"/>
    </row>
    <row r="1076" spans="11:15">
      <c r="K1076" s="1465">
        <v>43133</v>
      </c>
      <c r="L1076" s="1466" t="s">
        <v>2125</v>
      </c>
      <c r="M1076" s="1467">
        <v>2.6481000000000001E-2</v>
      </c>
      <c r="N1076" s="1468">
        <v>1.4040972129551021</v>
      </c>
      <c r="O1076" s="1468"/>
    </row>
    <row r="1077" spans="11:15">
      <c r="K1077" s="1465">
        <v>43134</v>
      </c>
      <c r="L1077" s="1466"/>
      <c r="M1077" s="1467">
        <v>0</v>
      </c>
      <c r="N1077" s="1468">
        <v>1.4040972129551021</v>
      </c>
      <c r="O1077" s="1468"/>
    </row>
    <row r="1078" spans="11:15">
      <c r="K1078" s="1465">
        <v>43135</v>
      </c>
      <c r="L1078" s="1466"/>
      <c r="M1078" s="1467">
        <v>0</v>
      </c>
      <c r="N1078" s="1468">
        <v>1.4040972129551021</v>
      </c>
      <c r="O1078" s="1468"/>
    </row>
    <row r="1079" spans="11:15">
      <c r="K1079" s="1465">
        <v>43136</v>
      </c>
      <c r="L1079" s="1466" t="s">
        <v>2125</v>
      </c>
      <c r="M1079" s="1467">
        <v>2.6481000000000001E-2</v>
      </c>
      <c r="N1079" s="1468">
        <v>1.4044690319380648</v>
      </c>
      <c r="O1079" s="1468"/>
    </row>
    <row r="1080" spans="11:15">
      <c r="K1080" s="1465">
        <v>43137</v>
      </c>
      <c r="L1080" s="1466" t="s">
        <v>2125</v>
      </c>
      <c r="M1080" s="1467">
        <v>2.6481000000000001E-2</v>
      </c>
      <c r="N1080" s="1468">
        <v>1.4048409493824123</v>
      </c>
      <c r="O1080" s="1468"/>
    </row>
    <row r="1081" spans="11:15">
      <c r="K1081" s="1465">
        <v>43138</v>
      </c>
      <c r="L1081" s="1466" t="s">
        <v>2125</v>
      </c>
      <c r="M1081" s="1467">
        <v>2.6481000000000001E-2</v>
      </c>
      <c r="N1081" s="1468">
        <v>1.4052129653142182</v>
      </c>
      <c r="O1081" s="1468"/>
    </row>
    <row r="1082" spans="11:15">
      <c r="K1082" s="1465">
        <v>43139</v>
      </c>
      <c r="L1082" s="1466" t="s">
        <v>2125</v>
      </c>
      <c r="M1082" s="1467">
        <v>2.5551999999999998E-2</v>
      </c>
      <c r="N1082" s="1468">
        <v>1.4055720253311155</v>
      </c>
      <c r="O1082" s="1468"/>
    </row>
    <row r="1083" spans="11:15">
      <c r="K1083" s="1465">
        <v>43140</v>
      </c>
      <c r="L1083" s="1466" t="s">
        <v>2125</v>
      </c>
      <c r="M1083" s="1467">
        <v>2.5551999999999998E-2</v>
      </c>
      <c r="N1083" s="1468">
        <v>1.4059311770950282</v>
      </c>
      <c r="O1083" s="1468"/>
    </row>
    <row r="1084" spans="11:15">
      <c r="K1084" s="1465">
        <v>43141</v>
      </c>
      <c r="L1084" s="1466"/>
      <c r="M1084" s="1467">
        <v>0</v>
      </c>
      <c r="N1084" s="1468">
        <v>1.4059311770950282</v>
      </c>
      <c r="O1084" s="1468"/>
    </row>
    <row r="1085" spans="11:15">
      <c r="K1085" s="1465">
        <v>43142</v>
      </c>
      <c r="L1085" s="1466"/>
      <c r="M1085" s="1467">
        <v>0</v>
      </c>
      <c r="N1085" s="1468">
        <v>1.4059311770950282</v>
      </c>
      <c r="O1085" s="1468"/>
    </row>
    <row r="1086" spans="11:15">
      <c r="K1086" s="1465">
        <v>43143</v>
      </c>
      <c r="L1086" s="1466"/>
      <c r="M1086" s="1467">
        <v>0</v>
      </c>
      <c r="N1086" s="1468">
        <v>1.4059311770950282</v>
      </c>
      <c r="O1086" s="1468"/>
    </row>
    <row r="1087" spans="11:15">
      <c r="K1087" s="1465">
        <v>43144</v>
      </c>
      <c r="L1087" s="1466"/>
      <c r="M1087" s="1467">
        <v>0</v>
      </c>
      <c r="N1087" s="1468">
        <v>1.4059311770950282</v>
      </c>
      <c r="O1087" s="1468"/>
    </row>
    <row r="1088" spans="11:15">
      <c r="K1088" s="1465">
        <v>43145</v>
      </c>
      <c r="L1088" s="1466" t="s">
        <v>2125</v>
      </c>
      <c r="M1088" s="1467">
        <v>2.5551999999999998E-2</v>
      </c>
      <c r="N1088" s="1468">
        <v>1.4062904206293996</v>
      </c>
      <c r="O1088" s="1468"/>
    </row>
    <row r="1089" spans="11:15">
      <c r="K1089" s="1465">
        <v>43146</v>
      </c>
      <c r="L1089" s="1466" t="s">
        <v>2125</v>
      </c>
      <c r="M1089" s="1467">
        <v>2.5551999999999998E-2</v>
      </c>
      <c r="N1089" s="1468">
        <v>1.4066497559576789</v>
      </c>
      <c r="O1089" s="1468"/>
    </row>
    <row r="1090" spans="11:15">
      <c r="K1090" s="1465">
        <v>43147</v>
      </c>
      <c r="L1090" s="1466" t="s">
        <v>2125</v>
      </c>
      <c r="M1090" s="1467">
        <v>2.5551999999999998E-2</v>
      </c>
      <c r="N1090" s="1468">
        <v>1.4070091831033213</v>
      </c>
      <c r="O1090" s="1468"/>
    </row>
    <row r="1091" spans="11:15">
      <c r="K1091" s="1465">
        <v>43148</v>
      </c>
      <c r="L1091" s="1466"/>
      <c r="M1091" s="1467">
        <v>0</v>
      </c>
      <c r="N1091" s="1468">
        <v>1.4070091831033213</v>
      </c>
      <c r="O1091" s="1468"/>
    </row>
    <row r="1092" spans="11:15">
      <c r="K1092" s="1465">
        <v>43149</v>
      </c>
      <c r="L1092" s="1466"/>
      <c r="M1092" s="1467">
        <v>0</v>
      </c>
      <c r="N1092" s="1468">
        <v>1.4070091831033213</v>
      </c>
      <c r="O1092" s="1468"/>
    </row>
    <row r="1093" spans="11:15">
      <c r="K1093" s="1465">
        <v>43150</v>
      </c>
      <c r="L1093" s="1466" t="s">
        <v>2125</v>
      </c>
      <c r="M1093" s="1467">
        <v>2.5551999999999998E-2</v>
      </c>
      <c r="N1093" s="1468">
        <v>1.407368702089788</v>
      </c>
      <c r="O1093" s="1468"/>
    </row>
    <row r="1094" spans="11:15">
      <c r="K1094" s="1465">
        <v>43151</v>
      </c>
      <c r="L1094" s="1466" t="s">
        <v>2125</v>
      </c>
      <c r="M1094" s="1467">
        <v>2.5551999999999998E-2</v>
      </c>
      <c r="N1094" s="1468">
        <v>1.407728312940546</v>
      </c>
      <c r="O1094" s="1468"/>
    </row>
    <row r="1095" spans="11:15">
      <c r="K1095" s="1465">
        <v>43152</v>
      </c>
      <c r="L1095" s="1466" t="s">
        <v>2125</v>
      </c>
      <c r="M1095" s="1467">
        <v>2.5551999999999998E-2</v>
      </c>
      <c r="N1095" s="1468">
        <v>1.4080880156790687</v>
      </c>
      <c r="O1095" s="1468"/>
    </row>
    <row r="1096" spans="11:15">
      <c r="K1096" s="1465">
        <v>43153</v>
      </c>
      <c r="L1096" s="1466" t="s">
        <v>2125</v>
      </c>
      <c r="M1096" s="1467">
        <v>2.5551999999999998E-2</v>
      </c>
      <c r="N1096" s="1468">
        <v>1.4084478103288351</v>
      </c>
      <c r="O1096" s="1468"/>
    </row>
    <row r="1097" spans="11:15">
      <c r="K1097" s="1465">
        <v>43154</v>
      </c>
      <c r="L1097" s="1466" t="s">
        <v>2125</v>
      </c>
      <c r="M1097" s="1467">
        <v>2.5551999999999998E-2</v>
      </c>
      <c r="N1097" s="1468">
        <v>1.4088076969133305</v>
      </c>
      <c r="O1097" s="1468"/>
    </row>
    <row r="1098" spans="11:15">
      <c r="K1098" s="1465">
        <v>43155</v>
      </c>
      <c r="L1098" s="1466"/>
      <c r="M1098" s="1467">
        <v>0</v>
      </c>
      <c r="N1098" s="1468">
        <v>1.4088076969133305</v>
      </c>
      <c r="O1098" s="1468"/>
    </row>
    <row r="1099" spans="11:15">
      <c r="K1099" s="1465">
        <v>43156</v>
      </c>
      <c r="L1099" s="1466"/>
      <c r="M1099" s="1467">
        <v>0</v>
      </c>
      <c r="N1099" s="1468">
        <v>1.4088076969133305</v>
      </c>
      <c r="O1099" s="1468"/>
    </row>
    <row r="1100" spans="11:15">
      <c r="K1100" s="1465">
        <v>43157</v>
      </c>
      <c r="L1100" s="1466" t="s">
        <v>2125</v>
      </c>
      <c r="M1100" s="1467">
        <v>2.5551999999999998E-2</v>
      </c>
      <c r="N1100" s="1468">
        <v>1.4091676754560458</v>
      </c>
      <c r="O1100" s="1468"/>
    </row>
    <row r="1101" spans="11:15">
      <c r="K1101" s="1465">
        <v>43158</v>
      </c>
      <c r="L1101" s="1466" t="s">
        <v>2125</v>
      </c>
      <c r="M1101" s="1467">
        <v>2.5551999999999998E-2</v>
      </c>
      <c r="N1101" s="1468">
        <v>1.4095277459804785</v>
      </c>
      <c r="O1101" s="1468"/>
    </row>
    <row r="1102" spans="11:15">
      <c r="K1102" s="1465">
        <v>43159</v>
      </c>
      <c r="L1102" s="1466" t="s">
        <v>2125</v>
      </c>
      <c r="M1102" s="1467">
        <v>2.5551999999999998E-2</v>
      </c>
      <c r="N1102" s="1468">
        <v>1.4098879085101315</v>
      </c>
      <c r="O1102" s="1468"/>
    </row>
    <row r="1103" spans="11:15">
      <c r="K1103" s="1465">
        <v>43160</v>
      </c>
      <c r="L1103" s="1466" t="s">
        <v>2125</v>
      </c>
      <c r="M1103" s="1467">
        <v>2.5551999999999998E-2</v>
      </c>
      <c r="N1103" s="1468">
        <v>1.410248163068514</v>
      </c>
      <c r="O1103" s="1468"/>
    </row>
    <row r="1104" spans="11:15">
      <c r="K1104" s="1465">
        <v>43161</v>
      </c>
      <c r="L1104" s="1466" t="s">
        <v>2125</v>
      </c>
      <c r="M1104" s="1467">
        <v>2.5551999999999998E-2</v>
      </c>
      <c r="N1104" s="1468">
        <v>1.4106085096791414</v>
      </c>
      <c r="O1104" s="1468"/>
    </row>
    <row r="1105" spans="11:15">
      <c r="K1105" s="1465">
        <v>43162</v>
      </c>
      <c r="L1105" s="1466"/>
      <c r="M1105" s="1467">
        <v>0</v>
      </c>
      <c r="N1105" s="1468">
        <v>1.4106085096791414</v>
      </c>
      <c r="O1105" s="1468"/>
    </row>
    <row r="1106" spans="11:15">
      <c r="K1106" s="1465">
        <v>43163</v>
      </c>
      <c r="L1106" s="1466"/>
      <c r="M1106" s="1467">
        <v>0</v>
      </c>
      <c r="N1106" s="1468">
        <v>1.4106085096791414</v>
      </c>
      <c r="O1106" s="1468"/>
    </row>
    <row r="1107" spans="11:15">
      <c r="K1107" s="1465">
        <v>43164</v>
      </c>
      <c r="L1107" s="1466" t="s">
        <v>2125</v>
      </c>
      <c r="M1107" s="1467">
        <v>2.5551999999999998E-2</v>
      </c>
      <c r="N1107" s="1468">
        <v>1.4109689483655348</v>
      </c>
      <c r="O1107" s="1468"/>
    </row>
    <row r="1108" spans="11:15">
      <c r="K1108" s="1465">
        <v>43165</v>
      </c>
      <c r="L1108" s="1466" t="s">
        <v>2125</v>
      </c>
      <c r="M1108" s="1467">
        <v>2.5551999999999998E-2</v>
      </c>
      <c r="N1108" s="1468">
        <v>1.4113294791512212</v>
      </c>
      <c r="O1108" s="1468"/>
    </row>
    <row r="1109" spans="11:15">
      <c r="K1109" s="1465">
        <v>43166</v>
      </c>
      <c r="L1109" s="1466" t="s">
        <v>2125</v>
      </c>
      <c r="M1109" s="1467">
        <v>2.5551999999999998E-2</v>
      </c>
      <c r="N1109" s="1468">
        <v>1.4116901020597341</v>
      </c>
      <c r="O1109" s="1468"/>
    </row>
    <row r="1110" spans="11:15">
      <c r="K1110" s="1465">
        <v>43167</v>
      </c>
      <c r="L1110" s="1466" t="s">
        <v>2125</v>
      </c>
      <c r="M1110" s="1467">
        <v>2.5551999999999998E-2</v>
      </c>
      <c r="N1110" s="1468">
        <v>1.4120508171146124</v>
      </c>
      <c r="O1110" s="1468"/>
    </row>
    <row r="1111" spans="11:15">
      <c r="K1111" s="1465">
        <v>43168</v>
      </c>
      <c r="L1111" s="1466" t="s">
        <v>2125</v>
      </c>
      <c r="M1111" s="1467">
        <v>2.5551999999999998E-2</v>
      </c>
      <c r="N1111" s="1468">
        <v>1.4124116243394016</v>
      </c>
      <c r="O1111" s="1468"/>
    </row>
    <row r="1112" spans="11:15">
      <c r="K1112" s="1465">
        <v>43169</v>
      </c>
      <c r="L1112" s="1466"/>
      <c r="M1112" s="1467">
        <v>0</v>
      </c>
      <c r="N1112" s="1468">
        <v>1.4124116243394016</v>
      </c>
      <c r="O1112" s="1468"/>
    </row>
    <row r="1113" spans="11:15">
      <c r="K1113" s="1465">
        <v>43170</v>
      </c>
      <c r="L1113" s="1466"/>
      <c r="M1113" s="1467">
        <v>0</v>
      </c>
      <c r="N1113" s="1468">
        <v>1.4124116243394016</v>
      </c>
      <c r="O1113" s="1468"/>
    </row>
    <row r="1114" spans="11:15">
      <c r="K1114" s="1465">
        <v>43171</v>
      </c>
      <c r="L1114" s="1466" t="s">
        <v>2125</v>
      </c>
      <c r="M1114" s="1467">
        <v>2.5551999999999998E-2</v>
      </c>
      <c r="N1114" s="1468">
        <v>1.4127725237576529</v>
      </c>
      <c r="O1114" s="1468"/>
    </row>
    <row r="1115" spans="11:15">
      <c r="K1115" s="1465">
        <v>43172</v>
      </c>
      <c r="L1115" s="1466" t="s">
        <v>2125</v>
      </c>
      <c r="M1115" s="1467">
        <v>2.5551999999999998E-2</v>
      </c>
      <c r="N1115" s="1468">
        <v>1.4131335153929236</v>
      </c>
      <c r="O1115" s="1468"/>
    </row>
    <row r="1116" spans="11:15">
      <c r="K1116" s="1465">
        <v>43173</v>
      </c>
      <c r="L1116" s="1466" t="s">
        <v>2125</v>
      </c>
      <c r="M1116" s="1467">
        <v>2.5551999999999998E-2</v>
      </c>
      <c r="N1116" s="1468">
        <v>1.4134945992687769</v>
      </c>
      <c r="O1116" s="1468"/>
    </row>
    <row r="1117" spans="11:15">
      <c r="K1117" s="1465">
        <v>43174</v>
      </c>
      <c r="L1117" s="1466" t="s">
        <v>2125</v>
      </c>
      <c r="M1117" s="1467">
        <v>2.5551999999999998E-2</v>
      </c>
      <c r="N1117" s="1468">
        <v>1.4138557754087822</v>
      </c>
      <c r="O1117" s="1468"/>
    </row>
    <row r="1118" spans="11:15">
      <c r="K1118" s="1465">
        <v>43175</v>
      </c>
      <c r="L1118" s="1466" t="s">
        <v>2125</v>
      </c>
      <c r="M1118" s="1467">
        <v>2.5551999999999998E-2</v>
      </c>
      <c r="N1118" s="1468">
        <v>1.4142170438365147</v>
      </c>
      <c r="O1118" s="1468"/>
    </row>
    <row r="1119" spans="11:15">
      <c r="K1119" s="1465">
        <v>43176</v>
      </c>
      <c r="L1119" s="1466"/>
      <c r="M1119" s="1467">
        <v>0</v>
      </c>
      <c r="N1119" s="1468">
        <v>1.4142170438365147</v>
      </c>
      <c r="O1119" s="1468"/>
    </row>
    <row r="1120" spans="11:15">
      <c r="K1120" s="1465">
        <v>43177</v>
      </c>
      <c r="L1120" s="1466"/>
      <c r="M1120" s="1467">
        <v>0</v>
      </c>
      <c r="N1120" s="1468">
        <v>1.4142170438365147</v>
      </c>
      <c r="O1120" s="1468"/>
    </row>
    <row r="1121" spans="11:15">
      <c r="K1121" s="1465">
        <v>43178</v>
      </c>
      <c r="L1121" s="1466" t="s">
        <v>2125</v>
      </c>
      <c r="M1121" s="1467">
        <v>2.5551999999999998E-2</v>
      </c>
      <c r="N1121" s="1468">
        <v>1.4145784045755558</v>
      </c>
      <c r="O1121" s="1468"/>
    </row>
    <row r="1122" spans="11:15">
      <c r="K1122" s="1465">
        <v>43179</v>
      </c>
      <c r="L1122" s="1466" t="s">
        <v>2125</v>
      </c>
      <c r="M1122" s="1467">
        <v>2.5551999999999998E-2</v>
      </c>
      <c r="N1122" s="1468">
        <v>1.4149398576494931</v>
      </c>
      <c r="O1122" s="1468"/>
    </row>
    <row r="1123" spans="11:15">
      <c r="K1123" s="1465">
        <v>43180</v>
      </c>
      <c r="L1123" s="1466" t="s">
        <v>2125</v>
      </c>
      <c r="M1123" s="1467">
        <v>2.5551999999999998E-2</v>
      </c>
      <c r="N1123" s="1468">
        <v>1.4153014030819198</v>
      </c>
      <c r="O1123" s="1468"/>
    </row>
    <row r="1124" spans="11:15">
      <c r="K1124" s="1465">
        <v>43181</v>
      </c>
      <c r="L1124" s="1466" t="s">
        <v>2125</v>
      </c>
      <c r="M1124" s="1467">
        <v>2.462E-2</v>
      </c>
      <c r="N1124" s="1468">
        <v>1.4156498502873587</v>
      </c>
      <c r="O1124" s="1468"/>
    </row>
    <row r="1125" spans="11:15">
      <c r="K1125" s="1465">
        <v>43182</v>
      </c>
      <c r="L1125" s="1466" t="s">
        <v>2125</v>
      </c>
      <c r="M1125" s="1467">
        <v>2.462E-2</v>
      </c>
      <c r="N1125" s="1468">
        <v>1.4159983832804997</v>
      </c>
      <c r="O1125" s="1468"/>
    </row>
    <row r="1126" spans="11:15">
      <c r="K1126" s="1465">
        <v>43183</v>
      </c>
      <c r="L1126" s="1466"/>
      <c r="M1126" s="1467">
        <v>0</v>
      </c>
      <c r="N1126" s="1468">
        <v>1.4159983832804997</v>
      </c>
      <c r="O1126" s="1468"/>
    </row>
    <row r="1127" spans="11:15">
      <c r="K1127" s="1465">
        <v>43184</v>
      </c>
      <c r="L1127" s="1466"/>
      <c r="M1127" s="1467">
        <v>0</v>
      </c>
      <c r="N1127" s="1468">
        <v>1.4159983832804997</v>
      </c>
      <c r="O1127" s="1468"/>
    </row>
    <row r="1128" spans="11:15">
      <c r="K1128" s="1465">
        <v>43185</v>
      </c>
      <c r="L1128" s="1466" t="s">
        <v>2125</v>
      </c>
      <c r="M1128" s="1467">
        <v>2.462E-2</v>
      </c>
      <c r="N1128" s="1468">
        <v>1.4163470020824633</v>
      </c>
      <c r="O1128" s="1468"/>
    </row>
    <row r="1129" spans="11:15">
      <c r="K1129" s="1465">
        <v>43186</v>
      </c>
      <c r="L1129" s="1466" t="s">
        <v>2125</v>
      </c>
      <c r="M1129" s="1467">
        <v>2.462E-2</v>
      </c>
      <c r="N1129" s="1468">
        <v>1.4166957067143762</v>
      </c>
      <c r="O1129" s="1468"/>
    </row>
    <row r="1130" spans="11:15">
      <c r="K1130" s="1465">
        <v>43187</v>
      </c>
      <c r="L1130" s="1466" t="s">
        <v>2125</v>
      </c>
      <c r="M1130" s="1467">
        <v>2.462E-2</v>
      </c>
      <c r="N1130" s="1468">
        <v>1.4170444971973695</v>
      </c>
      <c r="O1130" s="1468"/>
    </row>
    <row r="1131" spans="11:15">
      <c r="K1131" s="1465">
        <v>43188</v>
      </c>
      <c r="L1131" s="1466" t="s">
        <v>2125</v>
      </c>
      <c r="M1131" s="1467">
        <v>2.462E-2</v>
      </c>
      <c r="N1131" s="1468">
        <v>1.4173933735525797</v>
      </c>
      <c r="O1131" s="1468"/>
    </row>
    <row r="1132" spans="11:15">
      <c r="K1132" s="1465">
        <v>43189</v>
      </c>
      <c r="L1132" s="1466"/>
      <c r="M1132" s="1467">
        <v>0</v>
      </c>
      <c r="N1132" s="1468">
        <v>1.4173933735525797</v>
      </c>
      <c r="O1132" s="1468"/>
    </row>
    <row r="1133" spans="11:15">
      <c r="K1133" s="1465">
        <v>43190</v>
      </c>
      <c r="L1133" s="1466"/>
      <c r="M1133" s="1467">
        <v>0</v>
      </c>
      <c r="N1133" s="1468">
        <v>1.4173933735525797</v>
      </c>
      <c r="O1133" s="1468"/>
    </row>
    <row r="1134" spans="11:15">
      <c r="K1134" s="1465">
        <v>43191</v>
      </c>
      <c r="L1134" s="1466"/>
      <c r="M1134" s="1467">
        <v>0</v>
      </c>
      <c r="N1134" s="1468">
        <v>1.4173933735525797</v>
      </c>
      <c r="O1134" s="1468"/>
    </row>
    <row r="1135" spans="11:15">
      <c r="K1135" s="1465">
        <v>43192</v>
      </c>
      <c r="L1135" s="1466" t="s">
        <v>2125</v>
      </c>
      <c r="M1135" s="1467">
        <v>2.462E-2</v>
      </c>
      <c r="N1135" s="1468">
        <v>1.4177423358011485</v>
      </c>
      <c r="O1135" s="1468"/>
    </row>
    <row r="1136" spans="11:15">
      <c r="K1136" s="1465">
        <v>43193</v>
      </c>
      <c r="L1136" s="1466" t="s">
        <v>2125</v>
      </c>
      <c r="M1136" s="1467">
        <v>2.462E-2</v>
      </c>
      <c r="N1136" s="1468">
        <v>1.4180913839642229</v>
      </c>
      <c r="O1136" s="1468"/>
    </row>
    <row r="1137" spans="11:15">
      <c r="K1137" s="1465">
        <v>43194</v>
      </c>
      <c r="L1137" s="1466" t="s">
        <v>2125</v>
      </c>
      <c r="M1137" s="1467">
        <v>2.462E-2</v>
      </c>
      <c r="N1137" s="1468">
        <v>1.4184405180629549</v>
      </c>
      <c r="O1137" s="1468"/>
    </row>
    <row r="1138" spans="11:15">
      <c r="K1138" s="1465">
        <v>43195</v>
      </c>
      <c r="L1138" s="1466" t="s">
        <v>2125</v>
      </c>
      <c r="M1138" s="1467">
        <v>2.462E-2</v>
      </c>
      <c r="N1138" s="1468">
        <v>1.4187897381185022</v>
      </c>
      <c r="O1138" s="1468"/>
    </row>
    <row r="1139" spans="11:15">
      <c r="K1139" s="1465">
        <v>43196</v>
      </c>
      <c r="L1139" s="1466" t="s">
        <v>2125</v>
      </c>
      <c r="M1139" s="1467">
        <v>2.462E-2</v>
      </c>
      <c r="N1139" s="1468">
        <v>1.4191390441520271</v>
      </c>
      <c r="O1139" s="1468"/>
    </row>
    <row r="1140" spans="11:15">
      <c r="K1140" s="1465">
        <v>43197</v>
      </c>
      <c r="L1140" s="1466"/>
      <c r="M1140" s="1467">
        <v>0</v>
      </c>
      <c r="N1140" s="1468">
        <v>1.4191390441520271</v>
      </c>
      <c r="O1140" s="1468"/>
    </row>
    <row r="1141" spans="11:15">
      <c r="K1141" s="1465">
        <v>43198</v>
      </c>
      <c r="L1141" s="1466"/>
      <c r="M1141" s="1467">
        <v>0</v>
      </c>
      <c r="N1141" s="1468">
        <v>1.4191390441520271</v>
      </c>
      <c r="O1141" s="1468"/>
    </row>
    <row r="1142" spans="11:15">
      <c r="K1142" s="1465">
        <v>43199</v>
      </c>
      <c r="L1142" s="1466" t="s">
        <v>2125</v>
      </c>
      <c r="M1142" s="1467">
        <v>2.462E-2</v>
      </c>
      <c r="N1142" s="1468">
        <v>1.4194884361846973</v>
      </c>
      <c r="O1142" s="1468"/>
    </row>
    <row r="1143" spans="11:15">
      <c r="K1143" s="1465">
        <v>43200</v>
      </c>
      <c r="L1143" s="1466" t="s">
        <v>2125</v>
      </c>
      <c r="M1143" s="1467">
        <v>2.462E-2</v>
      </c>
      <c r="N1143" s="1468">
        <v>1.419837914237686</v>
      </c>
      <c r="O1143" s="1468"/>
    </row>
    <row r="1144" spans="11:15">
      <c r="K1144" s="1465">
        <v>43201</v>
      </c>
      <c r="L1144" s="1466" t="s">
        <v>2125</v>
      </c>
      <c r="M1144" s="1467">
        <v>2.462E-2</v>
      </c>
      <c r="N1144" s="1468">
        <v>1.4201874783321715</v>
      </c>
      <c r="O1144" s="1468"/>
    </row>
    <row r="1145" spans="11:15">
      <c r="K1145" s="1465">
        <v>43202</v>
      </c>
      <c r="L1145" s="1466" t="s">
        <v>2125</v>
      </c>
      <c r="M1145" s="1467">
        <v>2.462E-2</v>
      </c>
      <c r="N1145" s="1468">
        <v>1.4205371284893371</v>
      </c>
      <c r="O1145" s="1468"/>
    </row>
    <row r="1146" spans="11:15">
      <c r="K1146" s="1465">
        <v>43203</v>
      </c>
      <c r="L1146" s="1466" t="s">
        <v>2125</v>
      </c>
      <c r="M1146" s="1467">
        <v>2.462E-2</v>
      </c>
      <c r="N1146" s="1468">
        <v>1.4208868647303714</v>
      </c>
      <c r="O1146" s="1468"/>
    </row>
    <row r="1147" spans="11:15">
      <c r="K1147" s="1465">
        <v>43204</v>
      </c>
      <c r="L1147" s="1466"/>
      <c r="M1147" s="1467">
        <v>0</v>
      </c>
      <c r="N1147" s="1468">
        <v>1.4208868647303714</v>
      </c>
      <c r="O1147" s="1468"/>
    </row>
    <row r="1148" spans="11:15">
      <c r="K1148" s="1465">
        <v>43205</v>
      </c>
      <c r="L1148" s="1466"/>
      <c r="M1148" s="1467">
        <v>0</v>
      </c>
      <c r="N1148" s="1468">
        <v>1.4208868647303714</v>
      </c>
      <c r="O1148" s="1468"/>
    </row>
    <row r="1149" spans="11:15">
      <c r="K1149" s="1465">
        <v>43206</v>
      </c>
      <c r="L1149" s="1466" t="s">
        <v>2125</v>
      </c>
      <c r="M1149" s="1467">
        <v>2.462E-2</v>
      </c>
      <c r="N1149" s="1468">
        <v>1.4212366870764681</v>
      </c>
      <c r="O1149" s="1468"/>
    </row>
    <row r="1150" spans="11:15">
      <c r="K1150" s="1465">
        <v>43207</v>
      </c>
      <c r="L1150" s="1466" t="s">
        <v>2125</v>
      </c>
      <c r="M1150" s="1467">
        <v>2.462E-2</v>
      </c>
      <c r="N1150" s="1468">
        <v>1.4215865955488265</v>
      </c>
      <c r="O1150" s="1468"/>
    </row>
    <row r="1151" spans="11:15">
      <c r="K1151" s="1465">
        <v>43208</v>
      </c>
      <c r="L1151" s="1466" t="s">
        <v>2125</v>
      </c>
      <c r="M1151" s="1467">
        <v>2.462E-2</v>
      </c>
      <c r="N1151" s="1468">
        <v>1.4219365901686507</v>
      </c>
      <c r="O1151" s="1468"/>
    </row>
    <row r="1152" spans="11:15">
      <c r="K1152" s="1465">
        <v>43209</v>
      </c>
      <c r="L1152" s="1466" t="s">
        <v>2125</v>
      </c>
      <c r="M1152" s="1467">
        <v>2.462E-2</v>
      </c>
      <c r="N1152" s="1468">
        <v>1.4222866709571504</v>
      </c>
      <c r="O1152" s="1468"/>
    </row>
    <row r="1153" spans="11:15">
      <c r="K1153" s="1465">
        <v>43210</v>
      </c>
      <c r="L1153" s="1466" t="s">
        <v>2125</v>
      </c>
      <c r="M1153" s="1467">
        <v>2.462E-2</v>
      </c>
      <c r="N1153" s="1468">
        <v>1.4226368379355403</v>
      </c>
      <c r="O1153" s="1468"/>
    </row>
    <row r="1154" spans="11:15">
      <c r="K1154" s="1465">
        <v>43211</v>
      </c>
      <c r="L1154" s="1466"/>
      <c r="M1154" s="1467">
        <v>0</v>
      </c>
      <c r="N1154" s="1468">
        <v>1.4226368379355403</v>
      </c>
      <c r="O1154" s="1468"/>
    </row>
    <row r="1155" spans="11:15">
      <c r="K1155" s="1465">
        <v>43212</v>
      </c>
      <c r="L1155" s="1466"/>
      <c r="M1155" s="1467">
        <v>0</v>
      </c>
      <c r="N1155" s="1468">
        <v>1.4226368379355403</v>
      </c>
      <c r="O1155" s="1468"/>
    </row>
    <row r="1156" spans="11:15">
      <c r="K1156" s="1465">
        <v>43213</v>
      </c>
      <c r="L1156" s="1466" t="s">
        <v>2125</v>
      </c>
      <c r="M1156" s="1467">
        <v>2.462E-2</v>
      </c>
      <c r="N1156" s="1468">
        <v>1.4229870911250402</v>
      </c>
      <c r="O1156" s="1468"/>
    </row>
    <row r="1157" spans="11:15">
      <c r="K1157" s="1465">
        <v>43214</v>
      </c>
      <c r="L1157" s="1466" t="s">
        <v>2125</v>
      </c>
      <c r="M1157" s="1467">
        <v>2.462E-2</v>
      </c>
      <c r="N1157" s="1468">
        <v>1.4233374305468753</v>
      </c>
      <c r="O1157" s="1468"/>
    </row>
    <row r="1158" spans="11:15">
      <c r="K1158" s="1465">
        <v>43215</v>
      </c>
      <c r="L1158" s="1466" t="s">
        <v>2125</v>
      </c>
      <c r="M1158" s="1467">
        <v>2.462E-2</v>
      </c>
      <c r="N1158" s="1468">
        <v>1.4236878562222761</v>
      </c>
      <c r="O1158" s="1468"/>
    </row>
    <row r="1159" spans="11:15">
      <c r="K1159" s="1465">
        <v>43216</v>
      </c>
      <c r="L1159" s="1466" t="s">
        <v>2125</v>
      </c>
      <c r="M1159" s="1467">
        <v>2.462E-2</v>
      </c>
      <c r="N1159" s="1468">
        <v>1.4240383681724782</v>
      </c>
      <c r="O1159" s="1468"/>
    </row>
    <row r="1160" spans="11:15">
      <c r="K1160" s="1465">
        <v>43217</v>
      </c>
      <c r="L1160" s="1466" t="s">
        <v>2125</v>
      </c>
      <c r="M1160" s="1467">
        <v>2.462E-2</v>
      </c>
      <c r="N1160" s="1468">
        <v>1.4243889664187224</v>
      </c>
      <c r="O1160" s="1468"/>
    </row>
    <row r="1161" spans="11:15">
      <c r="K1161" s="1465">
        <v>43218</v>
      </c>
      <c r="L1161" s="1466"/>
      <c r="M1161" s="1467">
        <v>0</v>
      </c>
      <c r="N1161" s="1468">
        <v>1.4243889664187224</v>
      </c>
      <c r="O1161" s="1468"/>
    </row>
    <row r="1162" spans="11:15">
      <c r="K1162" s="1465">
        <v>43219</v>
      </c>
      <c r="L1162" s="1466"/>
      <c r="M1162" s="1467">
        <v>0</v>
      </c>
      <c r="N1162" s="1468">
        <v>1.4243889664187224</v>
      </c>
      <c r="O1162" s="1468"/>
    </row>
    <row r="1163" spans="11:15">
      <c r="K1163" s="1465">
        <v>43220</v>
      </c>
      <c r="L1163" s="1466" t="s">
        <v>2125</v>
      </c>
      <c r="M1163" s="1467">
        <v>2.462E-2</v>
      </c>
      <c r="N1163" s="1468">
        <v>1.4247396509822547</v>
      </c>
      <c r="O1163" s="1468"/>
    </row>
    <row r="1164" spans="11:15">
      <c r="K1164" s="1465">
        <v>43221</v>
      </c>
      <c r="L1164" s="1466"/>
      <c r="M1164" s="1467">
        <v>0</v>
      </c>
      <c r="N1164" s="1468">
        <v>1.4247396509822547</v>
      </c>
      <c r="O1164" s="1468"/>
    </row>
    <row r="1165" spans="11:15">
      <c r="K1165" s="1465">
        <v>43222</v>
      </c>
      <c r="L1165" s="1466" t="s">
        <v>2125</v>
      </c>
      <c r="M1165" s="1467">
        <v>2.462E-2</v>
      </c>
      <c r="N1165" s="1468">
        <v>1.4250904218843268</v>
      </c>
      <c r="O1165" s="1468"/>
    </row>
    <row r="1166" spans="11:15">
      <c r="K1166" s="1465">
        <v>43223</v>
      </c>
      <c r="L1166" s="1466" t="s">
        <v>2125</v>
      </c>
      <c r="M1166" s="1467">
        <v>2.462E-2</v>
      </c>
      <c r="N1166" s="1468">
        <v>1.4254412791461948</v>
      </c>
      <c r="O1166" s="1468"/>
    </row>
    <row r="1167" spans="11:15">
      <c r="K1167" s="1465">
        <v>43224</v>
      </c>
      <c r="L1167" s="1466" t="s">
        <v>2125</v>
      </c>
      <c r="M1167" s="1467">
        <v>2.462E-2</v>
      </c>
      <c r="N1167" s="1468">
        <v>1.4257922227891207</v>
      </c>
      <c r="O1167" s="1468"/>
    </row>
    <row r="1168" spans="11:15">
      <c r="K1168" s="1465">
        <v>43225</v>
      </c>
      <c r="L1168" s="1466"/>
      <c r="M1168" s="1467">
        <v>0</v>
      </c>
      <c r="N1168" s="1468">
        <v>1.4257922227891207</v>
      </c>
      <c r="O1168" s="1468"/>
    </row>
    <row r="1169" spans="11:15">
      <c r="K1169" s="1465">
        <v>43226</v>
      </c>
      <c r="L1169" s="1466"/>
      <c r="M1169" s="1467">
        <v>0</v>
      </c>
      <c r="N1169" s="1468">
        <v>1.4257922227891207</v>
      </c>
      <c r="O1169" s="1468"/>
    </row>
    <row r="1170" spans="11:15">
      <c r="K1170" s="1465">
        <v>43227</v>
      </c>
      <c r="L1170" s="1466" t="s">
        <v>2125</v>
      </c>
      <c r="M1170" s="1467">
        <v>2.462E-2</v>
      </c>
      <c r="N1170" s="1468">
        <v>1.4261432528343714</v>
      </c>
      <c r="O1170" s="1468"/>
    </row>
    <row r="1171" spans="11:15">
      <c r="K1171" s="1465">
        <v>43228</v>
      </c>
      <c r="L1171" s="1466" t="s">
        <v>2125</v>
      </c>
      <c r="M1171" s="1467">
        <v>2.462E-2</v>
      </c>
      <c r="N1171" s="1468">
        <v>1.4264943693032193</v>
      </c>
      <c r="O1171" s="1468"/>
    </row>
    <row r="1172" spans="11:15">
      <c r="K1172" s="1465">
        <v>43229</v>
      </c>
      <c r="L1172" s="1466" t="s">
        <v>2125</v>
      </c>
      <c r="M1172" s="1467">
        <v>2.462E-2</v>
      </c>
      <c r="N1172" s="1468">
        <v>1.4268455722169417</v>
      </c>
      <c r="O1172" s="1468"/>
    </row>
    <row r="1173" spans="11:15">
      <c r="K1173" s="1465">
        <v>43230</v>
      </c>
      <c r="L1173" s="1466" t="s">
        <v>2125</v>
      </c>
      <c r="M1173" s="1467">
        <v>2.462E-2</v>
      </c>
      <c r="N1173" s="1468">
        <v>1.4271968615968216</v>
      </c>
      <c r="O1173" s="1468"/>
    </row>
    <row r="1174" spans="11:15">
      <c r="K1174" s="1465">
        <v>43231</v>
      </c>
      <c r="L1174" s="1466" t="s">
        <v>2125</v>
      </c>
      <c r="M1174" s="1467">
        <v>2.462E-2</v>
      </c>
      <c r="N1174" s="1468">
        <v>1.4275482374641468</v>
      </c>
      <c r="O1174" s="1468"/>
    </row>
    <row r="1175" spans="11:15">
      <c r="K1175" s="1465">
        <v>43232</v>
      </c>
      <c r="L1175" s="1466"/>
      <c r="M1175" s="1467">
        <v>0</v>
      </c>
      <c r="N1175" s="1468">
        <v>1.4275482374641468</v>
      </c>
      <c r="O1175" s="1468"/>
    </row>
    <row r="1176" spans="11:15">
      <c r="K1176" s="1465">
        <v>43233</v>
      </c>
      <c r="L1176" s="1466"/>
      <c r="M1176" s="1467">
        <v>0</v>
      </c>
      <c r="N1176" s="1468">
        <v>1.4275482374641468</v>
      </c>
      <c r="O1176" s="1468"/>
    </row>
    <row r="1177" spans="11:15">
      <c r="K1177" s="1465">
        <v>43234</v>
      </c>
      <c r="L1177" s="1466" t="s">
        <v>2125</v>
      </c>
      <c r="M1177" s="1467">
        <v>2.462E-2</v>
      </c>
      <c r="N1177" s="1468">
        <v>1.4278996998402107</v>
      </c>
      <c r="O1177" s="1468"/>
    </row>
    <row r="1178" spans="11:15">
      <c r="K1178" s="1465">
        <v>43235</v>
      </c>
      <c r="L1178" s="1466" t="s">
        <v>2125</v>
      </c>
      <c r="M1178" s="1467">
        <v>2.462E-2</v>
      </c>
      <c r="N1178" s="1468">
        <v>1.4282512487463115</v>
      </c>
      <c r="O1178" s="1468"/>
    </row>
    <row r="1179" spans="11:15">
      <c r="K1179" s="1465">
        <v>43236</v>
      </c>
      <c r="L1179" s="1466" t="s">
        <v>2125</v>
      </c>
      <c r="M1179" s="1467">
        <v>2.462E-2</v>
      </c>
      <c r="N1179" s="1468">
        <v>1.428602884203753</v>
      </c>
      <c r="O1179" s="1468"/>
    </row>
    <row r="1180" spans="11:15">
      <c r="K1180" s="1465">
        <v>43237</v>
      </c>
      <c r="L1180" s="1466" t="s">
        <v>2125</v>
      </c>
      <c r="M1180" s="1467">
        <v>2.462E-2</v>
      </c>
      <c r="N1180" s="1468">
        <v>1.4289546062338441</v>
      </c>
      <c r="O1180" s="1468"/>
    </row>
    <row r="1181" spans="11:15">
      <c r="K1181" s="1465">
        <v>43238</v>
      </c>
      <c r="L1181" s="1466" t="s">
        <v>2125</v>
      </c>
      <c r="M1181" s="1467">
        <v>2.462E-2</v>
      </c>
      <c r="N1181" s="1468">
        <v>1.4293064148578989</v>
      </c>
      <c r="O1181" s="1468"/>
    </row>
    <row r="1182" spans="11:15">
      <c r="K1182" s="1465">
        <v>43239</v>
      </c>
      <c r="L1182" s="1466"/>
      <c r="M1182" s="1467">
        <v>0</v>
      </c>
      <c r="N1182" s="1468">
        <v>1.4293064148578989</v>
      </c>
      <c r="O1182" s="1468"/>
    </row>
    <row r="1183" spans="11:15">
      <c r="K1183" s="1465">
        <v>43240</v>
      </c>
      <c r="L1183" s="1466"/>
      <c r="M1183" s="1467">
        <v>0</v>
      </c>
      <c r="N1183" s="1468">
        <v>1.4293064148578989</v>
      </c>
      <c r="O1183" s="1468"/>
    </row>
    <row r="1184" spans="11:15">
      <c r="K1184" s="1465">
        <v>43241</v>
      </c>
      <c r="L1184" s="1466" t="s">
        <v>2125</v>
      </c>
      <c r="M1184" s="1467">
        <v>2.462E-2</v>
      </c>
      <c r="N1184" s="1468">
        <v>1.4296583100972371</v>
      </c>
      <c r="O1184" s="1468"/>
    </row>
    <row r="1185" spans="11:15">
      <c r="K1185" s="1465">
        <v>43242</v>
      </c>
      <c r="L1185" s="1466" t="s">
        <v>2125</v>
      </c>
      <c r="M1185" s="1467">
        <v>2.462E-2</v>
      </c>
      <c r="N1185" s="1468">
        <v>1.4300102919731832</v>
      </c>
      <c r="O1185" s="1468"/>
    </row>
    <row r="1186" spans="11:15">
      <c r="K1186" s="1465">
        <v>43243</v>
      </c>
      <c r="L1186" s="1466" t="s">
        <v>2125</v>
      </c>
      <c r="M1186" s="1467">
        <v>2.462E-2</v>
      </c>
      <c r="N1186" s="1468">
        <v>1.430362360507067</v>
      </c>
      <c r="O1186" s="1468"/>
    </row>
    <row r="1187" spans="11:15">
      <c r="K1187" s="1465">
        <v>43244</v>
      </c>
      <c r="L1187" s="1466" t="s">
        <v>2125</v>
      </c>
      <c r="M1187" s="1467">
        <v>2.462E-2</v>
      </c>
      <c r="N1187" s="1468">
        <v>1.4307145157202239</v>
      </c>
      <c r="O1187" s="1468"/>
    </row>
    <row r="1188" spans="11:15">
      <c r="K1188" s="1465">
        <v>43245</v>
      </c>
      <c r="L1188" s="1466" t="s">
        <v>2125</v>
      </c>
      <c r="M1188" s="1467">
        <v>2.462E-2</v>
      </c>
      <c r="N1188" s="1468">
        <v>1.4310667576339944</v>
      </c>
      <c r="O1188" s="1468"/>
    </row>
    <row r="1189" spans="11:15">
      <c r="K1189" s="1465">
        <v>43246</v>
      </c>
      <c r="L1189" s="1466"/>
      <c r="M1189" s="1467">
        <v>0</v>
      </c>
      <c r="N1189" s="1468">
        <v>1.4310667576339944</v>
      </c>
      <c r="O1189" s="1468"/>
    </row>
    <row r="1190" spans="11:15">
      <c r="K1190" s="1465">
        <v>43247</v>
      </c>
      <c r="L1190" s="1466"/>
      <c r="M1190" s="1467">
        <v>0</v>
      </c>
      <c r="N1190" s="1468">
        <v>1.4310667576339944</v>
      </c>
      <c r="O1190" s="1468"/>
    </row>
    <row r="1191" spans="11:15">
      <c r="K1191" s="1465">
        <v>43248</v>
      </c>
      <c r="L1191" s="1466" t="s">
        <v>2125</v>
      </c>
      <c r="M1191" s="1467">
        <v>2.462E-2</v>
      </c>
      <c r="N1191" s="1468">
        <v>1.431419086269724</v>
      </c>
      <c r="O1191" s="1468"/>
    </row>
    <row r="1192" spans="11:15">
      <c r="K1192" s="1465">
        <v>43249</v>
      </c>
      <c r="L1192" s="1466" t="s">
        <v>2125</v>
      </c>
      <c r="M1192" s="1467">
        <v>2.462E-2</v>
      </c>
      <c r="N1192" s="1468">
        <v>1.4317715016487638</v>
      </c>
      <c r="O1192" s="1468"/>
    </row>
    <row r="1193" spans="11:15">
      <c r="K1193" s="1465">
        <v>43250</v>
      </c>
      <c r="L1193" s="1466" t="s">
        <v>2125</v>
      </c>
      <c r="M1193" s="1467">
        <v>2.462E-2</v>
      </c>
      <c r="N1193" s="1468">
        <v>1.4321240037924698</v>
      </c>
      <c r="O1193" s="1468"/>
    </row>
    <row r="1194" spans="11:15">
      <c r="K1194" s="1465">
        <v>43251</v>
      </c>
      <c r="L1194" s="1466"/>
      <c r="M1194" s="1467">
        <v>0</v>
      </c>
      <c r="N1194" s="1468">
        <v>1.4321240037924698</v>
      </c>
      <c r="O1194" s="1468"/>
    </row>
    <row r="1195" spans="11:15">
      <c r="K1195" s="1465">
        <v>43252</v>
      </c>
      <c r="L1195" s="1466" t="s">
        <v>2125</v>
      </c>
      <c r="M1195" s="1467">
        <v>2.462E-2</v>
      </c>
      <c r="N1195" s="1468">
        <v>1.4324765927222036</v>
      </c>
      <c r="O1195" s="1468"/>
    </row>
    <row r="1196" spans="11:15">
      <c r="K1196" s="1465">
        <v>43253</v>
      </c>
      <c r="L1196" s="1466"/>
      <c r="M1196" s="1467">
        <v>0</v>
      </c>
      <c r="N1196" s="1468">
        <v>1.4324765927222036</v>
      </c>
      <c r="O1196" s="1468"/>
    </row>
    <row r="1197" spans="11:15">
      <c r="K1197" s="1465">
        <v>43254</v>
      </c>
      <c r="L1197" s="1466"/>
      <c r="M1197" s="1467">
        <v>0</v>
      </c>
      <c r="N1197" s="1468">
        <v>1.4324765927222036</v>
      </c>
      <c r="O1197" s="1468"/>
    </row>
    <row r="1198" spans="11:15">
      <c r="K1198" s="1465">
        <v>43255</v>
      </c>
      <c r="L1198" s="1466" t="s">
        <v>2125</v>
      </c>
      <c r="M1198" s="1467">
        <v>2.462E-2</v>
      </c>
      <c r="N1198" s="1468">
        <v>1.432829268459332</v>
      </c>
      <c r="O1198" s="1468"/>
    </row>
    <row r="1199" spans="11:15">
      <c r="K1199" s="1465">
        <v>43256</v>
      </c>
      <c r="L1199" s="1466" t="s">
        <v>2125</v>
      </c>
      <c r="M1199" s="1467">
        <v>2.462E-2</v>
      </c>
      <c r="N1199" s="1468">
        <v>1.4331820310252268</v>
      </c>
      <c r="O1199" s="1468"/>
    </row>
    <row r="1200" spans="11:15">
      <c r="K1200" s="1465">
        <v>43257</v>
      </c>
      <c r="L1200" s="1466" t="s">
        <v>2125</v>
      </c>
      <c r="M1200" s="1467">
        <v>2.462E-2</v>
      </c>
      <c r="N1200" s="1468">
        <v>1.4335348804412653</v>
      </c>
      <c r="O1200" s="1468"/>
    </row>
    <row r="1201" spans="11:15">
      <c r="K1201" s="1465">
        <v>43258</v>
      </c>
      <c r="L1201" s="1466" t="s">
        <v>2125</v>
      </c>
      <c r="M1201" s="1467">
        <v>2.462E-2</v>
      </c>
      <c r="N1201" s="1468">
        <v>1.43388781672883</v>
      </c>
      <c r="O1201" s="1468"/>
    </row>
    <row r="1202" spans="11:15">
      <c r="K1202" s="1465">
        <v>43259</v>
      </c>
      <c r="L1202" s="1466" t="s">
        <v>2125</v>
      </c>
      <c r="M1202" s="1467">
        <v>2.462E-2</v>
      </c>
      <c r="N1202" s="1468">
        <v>1.4342408399093087</v>
      </c>
      <c r="O1202" s="1468"/>
    </row>
    <row r="1203" spans="11:15">
      <c r="K1203" s="1465">
        <v>43260</v>
      </c>
      <c r="L1203" s="1466"/>
      <c r="M1203" s="1467">
        <v>0</v>
      </c>
      <c r="N1203" s="1468">
        <v>1.4342408399093087</v>
      </c>
      <c r="O1203" s="1468"/>
    </row>
    <row r="1204" spans="11:15">
      <c r="K1204" s="1465">
        <v>43261</v>
      </c>
      <c r="L1204" s="1466"/>
      <c r="M1204" s="1467">
        <v>0</v>
      </c>
      <c r="N1204" s="1468">
        <v>1.4342408399093087</v>
      </c>
      <c r="O1204" s="1468"/>
    </row>
    <row r="1205" spans="11:15">
      <c r="K1205" s="1465">
        <v>43262</v>
      </c>
      <c r="L1205" s="1466" t="s">
        <v>2125</v>
      </c>
      <c r="M1205" s="1467">
        <v>2.462E-2</v>
      </c>
      <c r="N1205" s="1468">
        <v>1.4345939500040945</v>
      </c>
      <c r="O1205" s="1468"/>
    </row>
    <row r="1206" spans="11:15">
      <c r="K1206" s="1465">
        <v>43263</v>
      </c>
      <c r="L1206" s="1466" t="s">
        <v>2125</v>
      </c>
      <c r="M1206" s="1467">
        <v>2.462E-2</v>
      </c>
      <c r="N1206" s="1468">
        <v>1.4349471470345856</v>
      </c>
      <c r="O1206" s="1468"/>
    </row>
    <row r="1207" spans="11:15">
      <c r="K1207" s="1465">
        <v>43264</v>
      </c>
      <c r="L1207" s="1466" t="s">
        <v>2125</v>
      </c>
      <c r="M1207" s="1467">
        <v>2.462E-2</v>
      </c>
      <c r="N1207" s="1468">
        <v>1.4353004310221855</v>
      </c>
      <c r="O1207" s="1468"/>
    </row>
    <row r="1208" spans="11:15">
      <c r="K1208" s="1465">
        <v>43265</v>
      </c>
      <c r="L1208" s="1466" t="s">
        <v>2125</v>
      </c>
      <c r="M1208" s="1467">
        <v>2.462E-2</v>
      </c>
      <c r="N1208" s="1468">
        <v>1.4356538019883034</v>
      </c>
      <c r="O1208" s="1468"/>
    </row>
    <row r="1209" spans="11:15">
      <c r="K1209" s="1465">
        <v>43266</v>
      </c>
      <c r="L1209" s="1466" t="s">
        <v>2125</v>
      </c>
      <c r="M1209" s="1467">
        <v>2.462E-2</v>
      </c>
      <c r="N1209" s="1468">
        <v>1.436007259954353</v>
      </c>
      <c r="O1209" s="1468"/>
    </row>
    <row r="1210" spans="11:15">
      <c r="K1210" s="1465">
        <v>43267</v>
      </c>
      <c r="L1210" s="1466"/>
      <c r="M1210" s="1467">
        <v>0</v>
      </c>
      <c r="N1210" s="1468">
        <v>1.436007259954353</v>
      </c>
      <c r="O1210" s="1468"/>
    </row>
    <row r="1211" spans="11:15">
      <c r="K1211" s="1465">
        <v>43268</v>
      </c>
      <c r="L1211" s="1466"/>
      <c r="M1211" s="1467">
        <v>0</v>
      </c>
      <c r="N1211" s="1468">
        <v>1.436007259954353</v>
      </c>
      <c r="O1211" s="1468"/>
    </row>
    <row r="1212" spans="11:15">
      <c r="K1212" s="1465">
        <v>43269</v>
      </c>
      <c r="L1212" s="1466" t="s">
        <v>2125</v>
      </c>
      <c r="M1212" s="1467">
        <v>2.462E-2</v>
      </c>
      <c r="N1212" s="1468">
        <v>1.4363608049417538</v>
      </c>
      <c r="O1212" s="1468"/>
    </row>
    <row r="1213" spans="11:15">
      <c r="K1213" s="1465">
        <v>43270</v>
      </c>
      <c r="L1213" s="1466" t="s">
        <v>2125</v>
      </c>
      <c r="M1213" s="1467">
        <v>2.462E-2</v>
      </c>
      <c r="N1213" s="1468">
        <v>1.4367144369719305</v>
      </c>
      <c r="O1213" s="1468"/>
    </row>
    <row r="1214" spans="11:15">
      <c r="K1214" s="1465">
        <v>43271</v>
      </c>
      <c r="L1214" s="1466" t="s">
        <v>2125</v>
      </c>
      <c r="M1214" s="1467">
        <v>2.462E-2</v>
      </c>
      <c r="N1214" s="1468">
        <v>1.437068156066313</v>
      </c>
      <c r="O1214" s="1468"/>
    </row>
    <row r="1215" spans="11:15">
      <c r="K1215" s="1465">
        <v>43272</v>
      </c>
      <c r="L1215" s="1466" t="s">
        <v>2125</v>
      </c>
      <c r="M1215" s="1467">
        <v>2.462E-2</v>
      </c>
      <c r="N1215" s="1468">
        <v>1.4374219622463367</v>
      </c>
      <c r="O1215" s="1468"/>
    </row>
    <row r="1216" spans="11:15">
      <c r="K1216" s="1465">
        <v>43273</v>
      </c>
      <c r="L1216" s="1466" t="s">
        <v>2125</v>
      </c>
      <c r="M1216" s="1467">
        <v>2.462E-2</v>
      </c>
      <c r="N1216" s="1468">
        <v>1.4377758555334419</v>
      </c>
      <c r="O1216" s="1468"/>
    </row>
    <row r="1217" spans="11:15">
      <c r="K1217" s="1465">
        <v>43274</v>
      </c>
      <c r="L1217" s="1466"/>
      <c r="M1217" s="1467">
        <v>0</v>
      </c>
      <c r="N1217" s="1468">
        <v>1.4377758555334419</v>
      </c>
      <c r="O1217" s="1468"/>
    </row>
    <row r="1218" spans="11:15">
      <c r="K1218" s="1465">
        <v>43275</v>
      </c>
      <c r="L1218" s="1466"/>
      <c r="M1218" s="1467">
        <v>0</v>
      </c>
      <c r="N1218" s="1468">
        <v>1.4377758555334419</v>
      </c>
      <c r="O1218" s="1468"/>
    </row>
    <row r="1219" spans="11:15">
      <c r="K1219" s="1465">
        <v>43276</v>
      </c>
      <c r="L1219" s="1466" t="s">
        <v>2125</v>
      </c>
      <c r="M1219" s="1467">
        <v>2.462E-2</v>
      </c>
      <c r="N1219" s="1468">
        <v>1.4381298359490744</v>
      </c>
      <c r="O1219" s="1468"/>
    </row>
    <row r="1220" spans="11:15">
      <c r="K1220" s="1465">
        <v>43277</v>
      </c>
      <c r="L1220" s="1466" t="s">
        <v>2125</v>
      </c>
      <c r="M1220" s="1467">
        <v>2.462E-2</v>
      </c>
      <c r="N1220" s="1468">
        <v>1.4384839035146852</v>
      </c>
      <c r="O1220" s="1468"/>
    </row>
    <row r="1221" spans="11:15">
      <c r="K1221" s="1465">
        <v>43278</v>
      </c>
      <c r="L1221" s="1466" t="s">
        <v>2125</v>
      </c>
      <c r="M1221" s="1467">
        <v>2.462E-2</v>
      </c>
      <c r="N1221" s="1468">
        <v>1.4388380582517306</v>
      </c>
      <c r="O1221" s="1468"/>
    </row>
    <row r="1222" spans="11:15">
      <c r="K1222" s="1465">
        <v>43279</v>
      </c>
      <c r="L1222" s="1466" t="s">
        <v>2125</v>
      </c>
      <c r="M1222" s="1467">
        <v>2.462E-2</v>
      </c>
      <c r="N1222" s="1468">
        <v>1.4391923001816722</v>
      </c>
      <c r="O1222" s="1468"/>
    </row>
    <row r="1223" spans="11:15">
      <c r="K1223" s="1465">
        <v>43280</v>
      </c>
      <c r="L1223" s="1466" t="s">
        <v>2125</v>
      </c>
      <c r="M1223" s="1467">
        <v>2.462E-2</v>
      </c>
      <c r="N1223" s="1468">
        <v>1.4395466293259771</v>
      </c>
      <c r="O1223" s="1468"/>
    </row>
    <row r="1224" spans="11:15">
      <c r="K1224" s="1465">
        <v>43281</v>
      </c>
      <c r="L1224" s="1466"/>
      <c r="M1224" s="1467">
        <v>0</v>
      </c>
      <c r="N1224" s="1468">
        <v>1.4395466293259771</v>
      </c>
      <c r="O1224" s="1468"/>
    </row>
    <row r="1225" spans="11:15">
      <c r="K1225" s="1465">
        <v>43282</v>
      </c>
      <c r="L1225" s="1466"/>
      <c r="M1225" s="1467">
        <v>0</v>
      </c>
      <c r="N1225" s="1468">
        <v>1.4395466293259771</v>
      </c>
      <c r="O1225" s="1468"/>
    </row>
    <row r="1226" spans="11:15">
      <c r="K1226" s="1465">
        <v>43283</v>
      </c>
      <c r="L1226" s="1466" t="s">
        <v>2125</v>
      </c>
      <c r="M1226" s="1467">
        <v>2.462E-2</v>
      </c>
      <c r="N1226" s="1468">
        <v>1.4399010457061172</v>
      </c>
      <c r="O1226" s="1468"/>
    </row>
    <row r="1227" spans="11:15">
      <c r="K1227" s="1465">
        <v>43284</v>
      </c>
      <c r="L1227" s="1466" t="s">
        <v>2125</v>
      </c>
      <c r="M1227" s="1467">
        <v>2.462E-2</v>
      </c>
      <c r="N1227" s="1468">
        <v>1.4402555493435703</v>
      </c>
      <c r="O1227" s="1468"/>
    </row>
    <row r="1228" spans="11:15">
      <c r="K1228" s="1465">
        <v>43285</v>
      </c>
      <c r="L1228" s="1466" t="s">
        <v>2125</v>
      </c>
      <c r="M1228" s="1467">
        <v>2.462E-2</v>
      </c>
      <c r="N1228" s="1468">
        <v>1.4406101402598188</v>
      </c>
      <c r="O1228" s="1468"/>
    </row>
    <row r="1229" spans="11:15">
      <c r="K1229" s="1465">
        <v>43286</v>
      </c>
      <c r="L1229" s="1466" t="s">
        <v>2125</v>
      </c>
      <c r="M1229" s="1467">
        <v>2.462E-2</v>
      </c>
      <c r="N1229" s="1468">
        <v>1.4409648184763508</v>
      </c>
      <c r="O1229" s="1468"/>
    </row>
    <row r="1230" spans="11:15">
      <c r="K1230" s="1465">
        <v>43287</v>
      </c>
      <c r="L1230" s="1466" t="s">
        <v>2125</v>
      </c>
      <c r="M1230" s="1467">
        <v>2.462E-2</v>
      </c>
      <c r="N1230" s="1468">
        <v>1.4413195840146598</v>
      </c>
      <c r="O1230" s="1468"/>
    </row>
    <row r="1231" spans="11:15">
      <c r="K1231" s="1465">
        <v>43288</v>
      </c>
      <c r="L1231" s="1466"/>
      <c r="M1231" s="1467">
        <v>0</v>
      </c>
      <c r="N1231" s="1468">
        <v>1.4413195840146598</v>
      </c>
      <c r="O1231" s="1468"/>
    </row>
    <row r="1232" spans="11:15">
      <c r="K1232" s="1465">
        <v>43289</v>
      </c>
      <c r="L1232" s="1466"/>
      <c r="M1232" s="1467">
        <v>0</v>
      </c>
      <c r="N1232" s="1468">
        <v>1.4413195840146598</v>
      </c>
      <c r="O1232" s="1468"/>
    </row>
    <row r="1233" spans="11:15">
      <c r="K1233" s="1465">
        <v>43290</v>
      </c>
      <c r="L1233" s="1466" t="s">
        <v>2125</v>
      </c>
      <c r="M1233" s="1467">
        <v>2.462E-2</v>
      </c>
      <c r="N1233" s="1468">
        <v>1.4416744368962442</v>
      </c>
      <c r="O1233" s="1468"/>
    </row>
    <row r="1234" spans="11:15">
      <c r="K1234" s="1465">
        <v>43291</v>
      </c>
      <c r="L1234" s="1466" t="s">
        <v>2125</v>
      </c>
      <c r="M1234" s="1467">
        <v>2.462E-2</v>
      </c>
      <c r="N1234" s="1468">
        <v>1.4420293771426083</v>
      </c>
      <c r="O1234" s="1468"/>
    </row>
    <row r="1235" spans="11:15">
      <c r="K1235" s="1465">
        <v>43292</v>
      </c>
      <c r="L1235" s="1466" t="s">
        <v>2125</v>
      </c>
      <c r="M1235" s="1467">
        <v>2.462E-2</v>
      </c>
      <c r="N1235" s="1468">
        <v>1.442384404775261</v>
      </c>
      <c r="O1235" s="1468"/>
    </row>
    <row r="1236" spans="11:15">
      <c r="K1236" s="1465">
        <v>43293</v>
      </c>
      <c r="L1236" s="1466" t="s">
        <v>2125</v>
      </c>
      <c r="M1236" s="1467">
        <v>2.462E-2</v>
      </c>
      <c r="N1236" s="1468">
        <v>1.4427395198157167</v>
      </c>
      <c r="O1236" s="1468"/>
    </row>
    <row r="1237" spans="11:15">
      <c r="K1237" s="1465">
        <v>43294</v>
      </c>
      <c r="L1237" s="1466" t="s">
        <v>2125</v>
      </c>
      <c r="M1237" s="1467">
        <v>2.462E-2</v>
      </c>
      <c r="N1237" s="1468">
        <v>1.4430947222854955</v>
      </c>
      <c r="O1237" s="1468"/>
    </row>
    <row r="1238" spans="11:15">
      <c r="K1238" s="1465">
        <v>43295</v>
      </c>
      <c r="L1238" s="1466"/>
      <c r="M1238" s="1467">
        <v>0</v>
      </c>
      <c r="N1238" s="1468">
        <v>1.4430947222854955</v>
      </c>
      <c r="O1238" s="1468"/>
    </row>
    <row r="1239" spans="11:15">
      <c r="K1239" s="1465">
        <v>43296</v>
      </c>
      <c r="L1239" s="1466"/>
      <c r="M1239" s="1467">
        <v>0</v>
      </c>
      <c r="N1239" s="1468">
        <v>1.4430947222854955</v>
      </c>
      <c r="O1239" s="1468"/>
    </row>
    <row r="1240" spans="11:15">
      <c r="K1240" s="1465">
        <v>43297</v>
      </c>
      <c r="L1240" s="1466" t="s">
        <v>2125</v>
      </c>
      <c r="M1240" s="1467">
        <v>2.462E-2</v>
      </c>
      <c r="N1240" s="1468">
        <v>1.4434500122061222</v>
      </c>
      <c r="O1240" s="1468"/>
    </row>
    <row r="1241" spans="11:15">
      <c r="K1241" s="1465">
        <v>43298</v>
      </c>
      <c r="L1241" s="1466" t="s">
        <v>2125</v>
      </c>
      <c r="M1241" s="1467">
        <v>2.462E-2</v>
      </c>
      <c r="N1241" s="1468">
        <v>1.4438053895991274</v>
      </c>
      <c r="O1241" s="1468"/>
    </row>
    <row r="1242" spans="11:15">
      <c r="K1242" s="1465">
        <v>43299</v>
      </c>
      <c r="L1242" s="1466" t="s">
        <v>2125</v>
      </c>
      <c r="M1242" s="1467">
        <v>2.462E-2</v>
      </c>
      <c r="N1242" s="1468">
        <v>1.4441608544860469</v>
      </c>
      <c r="O1242" s="1468"/>
    </row>
    <row r="1243" spans="11:15">
      <c r="K1243" s="1465">
        <v>43300</v>
      </c>
      <c r="L1243" s="1466" t="s">
        <v>2125</v>
      </c>
      <c r="M1243" s="1467">
        <v>2.462E-2</v>
      </c>
      <c r="N1243" s="1468">
        <v>1.4445164068884215</v>
      </c>
      <c r="O1243" s="1468"/>
    </row>
    <row r="1244" spans="11:15">
      <c r="K1244" s="1465">
        <v>43301</v>
      </c>
      <c r="L1244" s="1466" t="s">
        <v>2125</v>
      </c>
      <c r="M1244" s="1467">
        <v>2.462E-2</v>
      </c>
      <c r="N1244" s="1468">
        <v>1.4448720468277976</v>
      </c>
      <c r="O1244" s="1468"/>
    </row>
    <row r="1245" spans="11:15">
      <c r="K1245" s="1465">
        <v>43302</v>
      </c>
      <c r="L1245" s="1466"/>
      <c r="M1245" s="1467">
        <v>0</v>
      </c>
      <c r="N1245" s="1468">
        <v>1.4448720468277976</v>
      </c>
      <c r="O1245" s="1468"/>
    </row>
    <row r="1246" spans="11:15">
      <c r="K1246" s="1465">
        <v>43303</v>
      </c>
      <c r="L1246" s="1466"/>
      <c r="M1246" s="1467">
        <v>0</v>
      </c>
      <c r="N1246" s="1468">
        <v>1.4448720468277976</v>
      </c>
      <c r="O1246" s="1468"/>
    </row>
    <row r="1247" spans="11:15">
      <c r="K1247" s="1465">
        <v>43304</v>
      </c>
      <c r="L1247" s="1466" t="s">
        <v>2125</v>
      </c>
      <c r="M1247" s="1467">
        <v>2.462E-2</v>
      </c>
      <c r="N1247" s="1468">
        <v>1.4452277743257267</v>
      </c>
      <c r="O1247" s="1468"/>
    </row>
    <row r="1248" spans="11:15">
      <c r="K1248" s="1465">
        <v>43305</v>
      </c>
      <c r="L1248" s="1466" t="s">
        <v>2125</v>
      </c>
      <c r="M1248" s="1467">
        <v>2.462E-2</v>
      </c>
      <c r="N1248" s="1468">
        <v>1.4455835894037659</v>
      </c>
      <c r="O1248" s="1468"/>
    </row>
    <row r="1249" spans="11:15">
      <c r="K1249" s="1465">
        <v>43306</v>
      </c>
      <c r="L1249" s="1466" t="s">
        <v>2125</v>
      </c>
      <c r="M1249" s="1467">
        <v>2.462E-2</v>
      </c>
      <c r="N1249" s="1468">
        <v>1.4459394920834772</v>
      </c>
      <c r="O1249" s="1468"/>
    </row>
    <row r="1250" spans="11:15">
      <c r="K1250" s="1465">
        <v>43307</v>
      </c>
      <c r="L1250" s="1466" t="s">
        <v>2125</v>
      </c>
      <c r="M1250" s="1467">
        <v>2.462E-2</v>
      </c>
      <c r="N1250" s="1468">
        <v>1.4462954823864282</v>
      </c>
      <c r="O1250" s="1468"/>
    </row>
    <row r="1251" spans="11:15">
      <c r="K1251" s="1465">
        <v>43308</v>
      </c>
      <c r="L1251" s="1466" t="s">
        <v>2125</v>
      </c>
      <c r="M1251" s="1467">
        <v>2.462E-2</v>
      </c>
      <c r="N1251" s="1468">
        <v>1.4466515603341918</v>
      </c>
      <c r="O1251" s="1468"/>
    </row>
    <row r="1252" spans="11:15">
      <c r="K1252" s="1465">
        <v>43309</v>
      </c>
      <c r="L1252" s="1466"/>
      <c r="M1252" s="1467">
        <v>0</v>
      </c>
      <c r="N1252" s="1468">
        <v>1.4466515603341918</v>
      </c>
      <c r="O1252" s="1468"/>
    </row>
    <row r="1253" spans="11:15">
      <c r="K1253" s="1465">
        <v>43310</v>
      </c>
      <c r="L1253" s="1466"/>
      <c r="M1253" s="1467">
        <v>0</v>
      </c>
      <c r="N1253" s="1468">
        <v>1.4466515603341918</v>
      </c>
      <c r="O1253" s="1468"/>
    </row>
    <row r="1254" spans="11:15">
      <c r="K1254" s="1465">
        <v>43311</v>
      </c>
      <c r="L1254" s="1466" t="s">
        <v>2125</v>
      </c>
      <c r="M1254" s="1467">
        <v>2.462E-2</v>
      </c>
      <c r="N1254" s="1468">
        <v>1.4470077259483463</v>
      </c>
      <c r="O1254" s="1468"/>
    </row>
    <row r="1255" spans="11:15">
      <c r="K1255" s="1465">
        <v>43312</v>
      </c>
      <c r="L1255" s="1466" t="s">
        <v>2125</v>
      </c>
      <c r="M1255" s="1467">
        <v>2.462E-2</v>
      </c>
      <c r="N1255" s="1468">
        <v>1.4473639792504749</v>
      </c>
      <c r="O1255" s="1468"/>
    </row>
    <row r="1256" spans="11:15">
      <c r="K1256" s="1465">
        <v>43313</v>
      </c>
      <c r="L1256" s="1466" t="s">
        <v>2125</v>
      </c>
      <c r="M1256" s="1467">
        <v>2.462E-2</v>
      </c>
      <c r="N1256" s="1468">
        <v>1.4477203202621665</v>
      </c>
      <c r="O1256" s="1468"/>
    </row>
    <row r="1257" spans="11:15">
      <c r="K1257" s="1465">
        <v>43314</v>
      </c>
      <c r="L1257" s="1466" t="s">
        <v>2125</v>
      </c>
      <c r="M1257" s="1467">
        <v>2.462E-2</v>
      </c>
      <c r="N1257" s="1468">
        <v>1.448076749005015</v>
      </c>
      <c r="O1257" s="1468"/>
    </row>
    <row r="1258" spans="11:15">
      <c r="K1258" s="1465">
        <v>43315</v>
      </c>
      <c r="L1258" s="1466" t="s">
        <v>2125</v>
      </c>
      <c r="M1258" s="1467">
        <v>2.462E-2</v>
      </c>
      <c r="N1258" s="1468">
        <v>1.4484332655006202</v>
      </c>
      <c r="O1258" s="1468"/>
    </row>
    <row r="1259" spans="11:15">
      <c r="K1259" s="1465">
        <v>43316</v>
      </c>
      <c r="L1259" s="1466"/>
      <c r="M1259" s="1467">
        <v>0</v>
      </c>
      <c r="N1259" s="1468">
        <v>1.4484332655006202</v>
      </c>
      <c r="O1259" s="1468"/>
    </row>
    <row r="1260" spans="11:15">
      <c r="K1260" s="1465">
        <v>43317</v>
      </c>
      <c r="L1260" s="1466"/>
      <c r="M1260" s="1467">
        <v>0</v>
      </c>
      <c r="N1260" s="1468">
        <v>1.4484332655006202</v>
      </c>
      <c r="O1260" s="1468"/>
    </row>
    <row r="1261" spans="11:15">
      <c r="K1261" s="1465">
        <v>43318</v>
      </c>
      <c r="L1261" s="1466" t="s">
        <v>2125</v>
      </c>
      <c r="M1261" s="1467">
        <v>2.462E-2</v>
      </c>
      <c r="N1261" s="1468">
        <v>1.4487898697705865</v>
      </c>
      <c r="O1261" s="1468"/>
    </row>
    <row r="1262" spans="11:15">
      <c r="K1262" s="1465">
        <v>43319</v>
      </c>
      <c r="L1262" s="1466" t="s">
        <v>2125</v>
      </c>
      <c r="M1262" s="1467">
        <v>2.462E-2</v>
      </c>
      <c r="N1262" s="1468">
        <v>1.4491465618365242</v>
      </c>
      <c r="O1262" s="1468"/>
    </row>
    <row r="1263" spans="11:15">
      <c r="K1263" s="1465">
        <v>43320</v>
      </c>
      <c r="L1263" s="1466" t="s">
        <v>2125</v>
      </c>
      <c r="M1263" s="1467">
        <v>2.462E-2</v>
      </c>
      <c r="N1263" s="1468">
        <v>1.4495033417200485</v>
      </c>
      <c r="O1263" s="1468"/>
    </row>
    <row r="1264" spans="11:15">
      <c r="K1264" s="1465">
        <v>43321</v>
      </c>
      <c r="L1264" s="1466" t="s">
        <v>2125</v>
      </c>
      <c r="M1264" s="1467">
        <v>2.462E-2</v>
      </c>
      <c r="N1264" s="1468">
        <v>1.4498602094427802</v>
      </c>
      <c r="O1264" s="1468"/>
    </row>
    <row r="1265" spans="11:15">
      <c r="K1265" s="1465">
        <v>43322</v>
      </c>
      <c r="L1265" s="1466" t="s">
        <v>2125</v>
      </c>
      <c r="M1265" s="1467">
        <v>2.462E-2</v>
      </c>
      <c r="N1265" s="1468">
        <v>1.4502171650263451</v>
      </c>
      <c r="O1265" s="1468"/>
    </row>
    <row r="1266" spans="11:15">
      <c r="K1266" s="1465">
        <v>43323</v>
      </c>
      <c r="L1266" s="1466"/>
      <c r="M1266" s="1467">
        <v>0</v>
      </c>
      <c r="N1266" s="1468">
        <v>1.4502171650263451</v>
      </c>
      <c r="O1266" s="1468"/>
    </row>
    <row r="1267" spans="11:15">
      <c r="K1267" s="1465">
        <v>43324</v>
      </c>
      <c r="L1267" s="1466"/>
      <c r="M1267" s="1467">
        <v>0</v>
      </c>
      <c r="N1267" s="1468">
        <v>1.4502171650263451</v>
      </c>
      <c r="O1267" s="1468"/>
    </row>
    <row r="1268" spans="11:15">
      <c r="K1268" s="1465">
        <v>43325</v>
      </c>
      <c r="L1268" s="1466" t="s">
        <v>2125</v>
      </c>
      <c r="M1268" s="1467">
        <v>2.462E-2</v>
      </c>
      <c r="N1268" s="1468">
        <v>1.4505742084923747</v>
      </c>
      <c r="O1268" s="1468"/>
    </row>
    <row r="1269" spans="11:15">
      <c r="K1269" s="1465">
        <v>43326</v>
      </c>
      <c r="L1269" s="1466" t="s">
        <v>2125</v>
      </c>
      <c r="M1269" s="1467">
        <v>2.462E-2</v>
      </c>
      <c r="N1269" s="1468">
        <v>1.4509313398625057</v>
      </c>
      <c r="O1269" s="1468"/>
    </row>
    <row r="1270" spans="11:15">
      <c r="K1270" s="1465">
        <v>43327</v>
      </c>
      <c r="L1270" s="1466" t="s">
        <v>2125</v>
      </c>
      <c r="M1270" s="1467">
        <v>2.462E-2</v>
      </c>
      <c r="N1270" s="1468">
        <v>1.45128855915838</v>
      </c>
      <c r="O1270" s="1468"/>
    </row>
    <row r="1271" spans="11:15">
      <c r="K1271" s="1465">
        <v>43328</v>
      </c>
      <c r="L1271" s="1466" t="s">
        <v>2125</v>
      </c>
      <c r="M1271" s="1467">
        <v>2.462E-2</v>
      </c>
      <c r="N1271" s="1468">
        <v>1.4516458664016449</v>
      </c>
      <c r="O1271" s="1468"/>
    </row>
    <row r="1272" spans="11:15">
      <c r="K1272" s="1465">
        <v>43329</v>
      </c>
      <c r="L1272" s="1466" t="s">
        <v>2125</v>
      </c>
      <c r="M1272" s="1467">
        <v>2.462E-2</v>
      </c>
      <c r="N1272" s="1468">
        <v>1.4520032616139531</v>
      </c>
      <c r="O1272" s="1468"/>
    </row>
    <row r="1273" spans="11:15">
      <c r="K1273" s="1465">
        <v>43330</v>
      </c>
      <c r="L1273" s="1466"/>
      <c r="M1273" s="1467">
        <v>0</v>
      </c>
      <c r="N1273" s="1468">
        <v>1.4520032616139531</v>
      </c>
      <c r="O1273" s="1468"/>
    </row>
    <row r="1274" spans="11:15">
      <c r="K1274" s="1465">
        <v>43331</v>
      </c>
      <c r="L1274" s="1466"/>
      <c r="M1274" s="1467">
        <v>0</v>
      </c>
      <c r="N1274" s="1468">
        <v>1.4520032616139531</v>
      </c>
      <c r="O1274" s="1468"/>
    </row>
    <row r="1275" spans="11:15">
      <c r="K1275" s="1465">
        <v>43332</v>
      </c>
      <c r="L1275" s="1466" t="s">
        <v>2125</v>
      </c>
      <c r="M1275" s="1467">
        <v>2.462E-2</v>
      </c>
      <c r="N1275" s="1468">
        <v>1.4523607448169626</v>
      </c>
      <c r="O1275" s="1468"/>
    </row>
    <row r="1276" spans="11:15">
      <c r="K1276" s="1465">
        <v>43333</v>
      </c>
      <c r="L1276" s="1466" t="s">
        <v>2125</v>
      </c>
      <c r="M1276" s="1467">
        <v>2.462E-2</v>
      </c>
      <c r="N1276" s="1468">
        <v>1.4527183160323367</v>
      </c>
      <c r="O1276" s="1468"/>
    </row>
    <row r="1277" spans="11:15">
      <c r="K1277" s="1465">
        <v>43334</v>
      </c>
      <c r="L1277" s="1466" t="s">
        <v>2125</v>
      </c>
      <c r="M1277" s="1467">
        <v>2.462E-2</v>
      </c>
      <c r="N1277" s="1468">
        <v>1.4530759752817439</v>
      </c>
      <c r="O1277" s="1468"/>
    </row>
    <row r="1278" spans="11:15">
      <c r="K1278" s="1465">
        <v>43335</v>
      </c>
      <c r="L1278" s="1466" t="s">
        <v>2125</v>
      </c>
      <c r="M1278" s="1467">
        <v>2.462E-2</v>
      </c>
      <c r="N1278" s="1468">
        <v>1.4534337225868583</v>
      </c>
      <c r="O1278" s="1468"/>
    </row>
    <row r="1279" spans="11:15">
      <c r="K1279" s="1465">
        <v>43336</v>
      </c>
      <c r="L1279" s="1466" t="s">
        <v>2125</v>
      </c>
      <c r="M1279" s="1467">
        <v>2.462E-2</v>
      </c>
      <c r="N1279" s="1468">
        <v>1.4537915579693594</v>
      </c>
      <c r="O1279" s="1468"/>
    </row>
    <row r="1280" spans="11:15">
      <c r="K1280" s="1465">
        <v>43337</v>
      </c>
      <c r="L1280" s="1466"/>
      <c r="M1280" s="1467">
        <v>0</v>
      </c>
      <c r="N1280" s="1468">
        <v>1.4537915579693594</v>
      </c>
      <c r="O1280" s="1468"/>
    </row>
    <row r="1281" spans="11:15">
      <c r="K1281" s="1465">
        <v>43338</v>
      </c>
      <c r="L1281" s="1466"/>
      <c r="M1281" s="1467">
        <v>0</v>
      </c>
      <c r="N1281" s="1468">
        <v>1.4537915579693594</v>
      </c>
      <c r="O1281" s="1468"/>
    </row>
    <row r="1282" spans="11:15">
      <c r="K1282" s="1465">
        <v>43339</v>
      </c>
      <c r="L1282" s="1466" t="s">
        <v>2125</v>
      </c>
      <c r="M1282" s="1467">
        <v>2.462E-2</v>
      </c>
      <c r="N1282" s="1468">
        <v>1.4541494814509317</v>
      </c>
      <c r="O1282" s="1468"/>
    </row>
    <row r="1283" spans="11:15">
      <c r="K1283" s="1465">
        <v>43340</v>
      </c>
      <c r="L1283" s="1466" t="s">
        <v>2125</v>
      </c>
      <c r="M1283" s="1467">
        <v>2.462E-2</v>
      </c>
      <c r="N1283" s="1468">
        <v>1.4545074930532651</v>
      </c>
      <c r="O1283" s="1468"/>
    </row>
    <row r="1284" spans="11:15">
      <c r="K1284" s="1465">
        <v>43341</v>
      </c>
      <c r="L1284" s="1466" t="s">
        <v>2125</v>
      </c>
      <c r="M1284" s="1467">
        <v>2.462E-2</v>
      </c>
      <c r="N1284" s="1468">
        <v>1.4548655927980549</v>
      </c>
      <c r="O1284" s="1468"/>
    </row>
    <row r="1285" spans="11:15">
      <c r="K1285" s="1465">
        <v>43342</v>
      </c>
      <c r="L1285" s="1466" t="s">
        <v>2125</v>
      </c>
      <c r="M1285" s="1467">
        <v>2.462E-2</v>
      </c>
      <c r="N1285" s="1468">
        <v>1.4552237807070019</v>
      </c>
      <c r="O1285" s="1468"/>
    </row>
    <row r="1286" spans="11:15">
      <c r="K1286" s="1465">
        <v>43343</v>
      </c>
      <c r="L1286" s="1466" t="s">
        <v>2125</v>
      </c>
      <c r="M1286" s="1467">
        <v>2.462E-2</v>
      </c>
      <c r="N1286" s="1468">
        <v>1.4555820568018121</v>
      </c>
      <c r="O1286" s="1468"/>
    </row>
    <row r="1287" spans="11:15">
      <c r="K1287" s="1465">
        <v>43344</v>
      </c>
      <c r="L1287" s="1466"/>
      <c r="M1287" s="1467">
        <v>0</v>
      </c>
      <c r="N1287" s="1468">
        <v>1.4555820568018121</v>
      </c>
      <c r="O1287" s="1468"/>
    </row>
    <row r="1288" spans="11:15">
      <c r="K1288" s="1465">
        <v>43345</v>
      </c>
      <c r="L1288" s="1466"/>
      <c r="M1288" s="1467">
        <v>0</v>
      </c>
      <c r="N1288" s="1468">
        <v>1.4555820568018121</v>
      </c>
      <c r="O1288" s="1468"/>
    </row>
    <row r="1289" spans="11:15">
      <c r="K1289" s="1465">
        <v>43346</v>
      </c>
      <c r="L1289" s="1466" t="s">
        <v>2125</v>
      </c>
      <c r="M1289" s="1467">
        <v>2.462E-2</v>
      </c>
      <c r="N1289" s="1468">
        <v>1.4559404211041969</v>
      </c>
      <c r="O1289" s="1468"/>
    </row>
    <row r="1290" spans="11:15">
      <c r="K1290" s="1465">
        <v>43347</v>
      </c>
      <c r="L1290" s="1466" t="s">
        <v>2125</v>
      </c>
      <c r="M1290" s="1467">
        <v>2.462E-2</v>
      </c>
      <c r="N1290" s="1468">
        <v>1.4562988736358728</v>
      </c>
      <c r="O1290" s="1468"/>
    </row>
    <row r="1291" spans="11:15">
      <c r="K1291" s="1465">
        <v>43348</v>
      </c>
      <c r="L1291" s="1466" t="s">
        <v>2125</v>
      </c>
      <c r="M1291" s="1467">
        <v>2.462E-2</v>
      </c>
      <c r="N1291" s="1468">
        <v>1.4566574144185622</v>
      </c>
      <c r="O1291" s="1468"/>
    </row>
    <row r="1292" spans="11:15">
      <c r="K1292" s="1465">
        <v>43349</v>
      </c>
      <c r="L1292" s="1466" t="s">
        <v>2125</v>
      </c>
      <c r="M1292" s="1467">
        <v>2.462E-2</v>
      </c>
      <c r="N1292" s="1468">
        <v>1.4570160434739923</v>
      </c>
      <c r="O1292" s="1468"/>
    </row>
    <row r="1293" spans="11:15">
      <c r="K1293" s="1465">
        <v>43350</v>
      </c>
      <c r="L1293" s="1466"/>
      <c r="M1293" s="1467">
        <v>0</v>
      </c>
      <c r="N1293" s="1468">
        <v>1.4570160434739923</v>
      </c>
      <c r="O1293" s="1468"/>
    </row>
    <row r="1294" spans="11:15">
      <c r="K1294" s="1465">
        <v>43351</v>
      </c>
      <c r="L1294" s="1466"/>
      <c r="M1294" s="1467">
        <v>0</v>
      </c>
      <c r="N1294" s="1468">
        <v>1.4570160434739923</v>
      </c>
      <c r="O1294" s="1468"/>
    </row>
    <row r="1295" spans="11:15">
      <c r="K1295" s="1465">
        <v>43352</v>
      </c>
      <c r="L1295" s="1466"/>
      <c r="M1295" s="1467">
        <v>0</v>
      </c>
      <c r="N1295" s="1468">
        <v>1.4570160434739923</v>
      </c>
      <c r="O1295" s="1468"/>
    </row>
    <row r="1296" spans="11:15">
      <c r="K1296" s="1465">
        <v>43353</v>
      </c>
      <c r="L1296" s="1466" t="s">
        <v>2125</v>
      </c>
      <c r="M1296" s="1467">
        <v>2.462E-2</v>
      </c>
      <c r="N1296" s="1468">
        <v>1.4573747608238956</v>
      </c>
      <c r="O1296" s="1468"/>
    </row>
    <row r="1297" spans="11:15">
      <c r="K1297" s="1465">
        <v>43354</v>
      </c>
      <c r="L1297" s="1466" t="s">
        <v>2125</v>
      </c>
      <c r="M1297" s="1467">
        <v>2.462E-2</v>
      </c>
      <c r="N1297" s="1468">
        <v>1.4577335664900106</v>
      </c>
      <c r="O1297" s="1468"/>
    </row>
    <row r="1298" spans="11:15">
      <c r="K1298" s="1465">
        <v>43355</v>
      </c>
      <c r="L1298" s="1466" t="s">
        <v>2125</v>
      </c>
      <c r="M1298" s="1467">
        <v>2.462E-2</v>
      </c>
      <c r="N1298" s="1468">
        <v>1.4580924604940806</v>
      </c>
      <c r="O1298" s="1468"/>
    </row>
    <row r="1299" spans="11:15">
      <c r="K1299" s="1465">
        <v>43356</v>
      </c>
      <c r="L1299" s="1466" t="s">
        <v>2125</v>
      </c>
      <c r="M1299" s="1467">
        <v>2.462E-2</v>
      </c>
      <c r="N1299" s="1468">
        <v>1.4584514428578543</v>
      </c>
      <c r="O1299" s="1468"/>
    </row>
    <row r="1300" spans="11:15">
      <c r="K1300" s="1465">
        <v>43357</v>
      </c>
      <c r="L1300" s="1466" t="s">
        <v>2125</v>
      </c>
      <c r="M1300" s="1467">
        <v>2.462E-2</v>
      </c>
      <c r="N1300" s="1468">
        <v>1.458810513603086</v>
      </c>
      <c r="O1300" s="1468"/>
    </row>
    <row r="1301" spans="11:15">
      <c r="K1301" s="1465">
        <v>43358</v>
      </c>
      <c r="L1301" s="1466"/>
      <c r="M1301" s="1467">
        <v>0</v>
      </c>
      <c r="N1301" s="1468">
        <v>1.458810513603086</v>
      </c>
      <c r="O1301" s="1468"/>
    </row>
    <row r="1302" spans="11:15">
      <c r="K1302" s="1465">
        <v>43359</v>
      </c>
      <c r="L1302" s="1466"/>
      <c r="M1302" s="1467">
        <v>0</v>
      </c>
      <c r="N1302" s="1468">
        <v>1.458810513603086</v>
      </c>
      <c r="O1302" s="1468"/>
    </row>
    <row r="1303" spans="11:15">
      <c r="K1303" s="1465">
        <v>43360</v>
      </c>
      <c r="L1303" s="1466" t="s">
        <v>2125</v>
      </c>
      <c r="M1303" s="1467">
        <v>2.462E-2</v>
      </c>
      <c r="N1303" s="1468">
        <v>1.4591696727515353</v>
      </c>
      <c r="O1303" s="1468"/>
    </row>
    <row r="1304" spans="11:15">
      <c r="K1304" s="1465">
        <v>43361</v>
      </c>
      <c r="L1304" s="1466" t="s">
        <v>2125</v>
      </c>
      <c r="M1304" s="1467">
        <v>2.462E-2</v>
      </c>
      <c r="N1304" s="1468">
        <v>1.4595289203249668</v>
      </c>
      <c r="O1304" s="1468"/>
    </row>
    <row r="1305" spans="11:15">
      <c r="K1305" s="1465">
        <v>43362</v>
      </c>
      <c r="L1305" s="1466" t="s">
        <v>2125</v>
      </c>
      <c r="M1305" s="1467">
        <v>2.462E-2</v>
      </c>
      <c r="N1305" s="1468">
        <v>1.459888256345151</v>
      </c>
      <c r="O1305" s="1468"/>
    </row>
    <row r="1306" spans="11:15">
      <c r="K1306" s="1465">
        <v>43363</v>
      </c>
      <c r="L1306" s="1466" t="s">
        <v>2125</v>
      </c>
      <c r="M1306" s="1467">
        <v>2.462E-2</v>
      </c>
      <c r="N1306" s="1468">
        <v>1.4602476808338634</v>
      </c>
      <c r="O1306" s="1468"/>
    </row>
    <row r="1307" spans="11:15">
      <c r="K1307" s="1465">
        <v>43364</v>
      </c>
      <c r="L1307" s="1466" t="s">
        <v>2125</v>
      </c>
      <c r="M1307" s="1467">
        <v>2.462E-2</v>
      </c>
      <c r="N1307" s="1468">
        <v>1.4606071938128848</v>
      </c>
      <c r="O1307" s="1468"/>
    </row>
    <row r="1308" spans="11:15">
      <c r="K1308" s="1465">
        <v>43365</v>
      </c>
      <c r="L1308" s="1466"/>
      <c r="M1308" s="1467">
        <v>0</v>
      </c>
      <c r="N1308" s="1468">
        <v>1.4606071938128848</v>
      </c>
      <c r="O1308" s="1468"/>
    </row>
    <row r="1309" spans="11:15">
      <c r="K1309" s="1465">
        <v>43366</v>
      </c>
      <c r="L1309" s="1466"/>
      <c r="M1309" s="1467">
        <v>0</v>
      </c>
      <c r="N1309" s="1468">
        <v>1.4606071938128848</v>
      </c>
      <c r="O1309" s="1468"/>
    </row>
    <row r="1310" spans="11:15">
      <c r="K1310" s="1465">
        <v>43367</v>
      </c>
      <c r="L1310" s="1466" t="s">
        <v>2125</v>
      </c>
      <c r="M1310" s="1467">
        <v>2.462E-2</v>
      </c>
      <c r="N1310" s="1468">
        <v>1.4609667953040018</v>
      </c>
      <c r="O1310" s="1468"/>
    </row>
    <row r="1311" spans="11:15">
      <c r="K1311" s="1465">
        <v>43368</v>
      </c>
      <c r="L1311" s="1466" t="s">
        <v>2125</v>
      </c>
      <c r="M1311" s="1467">
        <v>2.462E-2</v>
      </c>
      <c r="N1311" s="1468">
        <v>1.4613264853290058</v>
      </c>
      <c r="O1311" s="1468"/>
    </row>
    <row r="1312" spans="11:15">
      <c r="K1312" s="1465">
        <v>43369</v>
      </c>
      <c r="L1312" s="1466" t="s">
        <v>2125</v>
      </c>
      <c r="M1312" s="1467">
        <v>2.462E-2</v>
      </c>
      <c r="N1312" s="1468">
        <v>1.4616862639096939</v>
      </c>
      <c r="O1312" s="1468"/>
    </row>
    <row r="1313" spans="11:15">
      <c r="K1313" s="1465">
        <v>43370</v>
      </c>
      <c r="L1313" s="1466" t="s">
        <v>2125</v>
      </c>
      <c r="M1313" s="1467">
        <v>2.462E-2</v>
      </c>
      <c r="N1313" s="1468">
        <v>1.4620461310678685</v>
      </c>
      <c r="O1313" s="1468"/>
    </row>
    <row r="1314" spans="11:15">
      <c r="K1314" s="1465">
        <v>43371</v>
      </c>
      <c r="L1314" s="1466" t="s">
        <v>2125</v>
      </c>
      <c r="M1314" s="1467">
        <v>2.462E-2</v>
      </c>
      <c r="N1314" s="1468">
        <v>1.4624060868253375</v>
      </c>
      <c r="O1314" s="1468"/>
    </row>
    <row r="1315" spans="11:15">
      <c r="K1315" s="1465">
        <v>43372</v>
      </c>
      <c r="L1315" s="1466"/>
      <c r="M1315" s="1467">
        <v>0</v>
      </c>
      <c r="N1315" s="1468">
        <v>1.4624060868253375</v>
      </c>
      <c r="O1315" s="1468"/>
    </row>
    <row r="1316" spans="11:15">
      <c r="K1316" s="1465">
        <v>43373</v>
      </c>
      <c r="L1316" s="1466"/>
      <c r="M1316" s="1467">
        <v>0</v>
      </c>
      <c r="N1316" s="1468">
        <v>1.4624060868253375</v>
      </c>
      <c r="O1316" s="1468"/>
    </row>
    <row r="1317" spans="11:15">
      <c r="K1317" s="1465">
        <v>43374</v>
      </c>
      <c r="L1317" s="1466" t="s">
        <v>2125</v>
      </c>
      <c r="M1317" s="1467">
        <v>2.462E-2</v>
      </c>
      <c r="N1317" s="1468">
        <v>1.462766131203914</v>
      </c>
      <c r="O1317" s="1468"/>
    </row>
    <row r="1318" spans="11:15">
      <c r="K1318" s="1465">
        <v>43375</v>
      </c>
      <c r="L1318" s="1466" t="s">
        <v>2125</v>
      </c>
      <c r="M1318" s="1467">
        <v>2.462E-2</v>
      </c>
      <c r="N1318" s="1468">
        <v>1.4631262642254166</v>
      </c>
      <c r="O1318" s="1468"/>
    </row>
    <row r="1319" spans="11:15">
      <c r="K1319" s="1465">
        <v>43376</v>
      </c>
      <c r="L1319" s="1466" t="s">
        <v>2125</v>
      </c>
      <c r="M1319" s="1467">
        <v>2.462E-2</v>
      </c>
      <c r="N1319" s="1468">
        <v>1.463486485911669</v>
      </c>
      <c r="O1319" s="1468"/>
    </row>
    <row r="1320" spans="11:15">
      <c r="K1320" s="1465">
        <v>43377</v>
      </c>
      <c r="L1320" s="1466" t="s">
        <v>2125</v>
      </c>
      <c r="M1320" s="1467">
        <v>2.462E-2</v>
      </c>
      <c r="N1320" s="1468">
        <v>1.4638467962845005</v>
      </c>
      <c r="O1320" s="1468"/>
    </row>
    <row r="1321" spans="11:15">
      <c r="K1321" s="1465">
        <v>43378</v>
      </c>
      <c r="L1321" s="1466" t="s">
        <v>2125</v>
      </c>
      <c r="M1321" s="1467">
        <v>2.462E-2</v>
      </c>
      <c r="N1321" s="1468">
        <v>1.4642071953657458</v>
      </c>
      <c r="O1321" s="1468"/>
    </row>
    <row r="1322" spans="11:15">
      <c r="K1322" s="1465">
        <v>43379</v>
      </c>
      <c r="L1322" s="1466"/>
      <c r="M1322" s="1467">
        <v>0</v>
      </c>
      <c r="N1322" s="1468">
        <v>1.4642071953657458</v>
      </c>
      <c r="O1322" s="1468"/>
    </row>
    <row r="1323" spans="11:15">
      <c r="K1323" s="1465">
        <v>43380</v>
      </c>
      <c r="L1323" s="1466"/>
      <c r="M1323" s="1467">
        <v>0</v>
      </c>
      <c r="N1323" s="1468">
        <v>1.4642071953657458</v>
      </c>
      <c r="O1323" s="1468"/>
    </row>
    <row r="1324" spans="11:15">
      <c r="K1324" s="1465">
        <v>43381</v>
      </c>
      <c r="L1324" s="1466" t="s">
        <v>2125</v>
      </c>
      <c r="M1324" s="1467">
        <v>2.462E-2</v>
      </c>
      <c r="N1324" s="1468">
        <v>1.4645676831772449</v>
      </c>
      <c r="O1324" s="1468"/>
    </row>
    <row r="1325" spans="11:15">
      <c r="K1325" s="1465">
        <v>43382</v>
      </c>
      <c r="L1325" s="1466" t="s">
        <v>2125</v>
      </c>
      <c r="M1325" s="1467">
        <v>2.462E-2</v>
      </c>
      <c r="N1325" s="1468">
        <v>1.4649282597408433</v>
      </c>
      <c r="O1325" s="1468"/>
    </row>
    <row r="1326" spans="11:15">
      <c r="K1326" s="1465">
        <v>43383</v>
      </c>
      <c r="L1326" s="1466" t="s">
        <v>2125</v>
      </c>
      <c r="M1326" s="1467">
        <v>2.462E-2</v>
      </c>
      <c r="N1326" s="1468">
        <v>1.4652889250783916</v>
      </c>
      <c r="O1326" s="1468"/>
    </row>
    <row r="1327" spans="11:15">
      <c r="K1327" s="1465">
        <v>43384</v>
      </c>
      <c r="L1327" s="1466" t="s">
        <v>2125</v>
      </c>
      <c r="M1327" s="1467">
        <v>2.462E-2</v>
      </c>
      <c r="N1327" s="1468">
        <v>1.4656496792117459</v>
      </c>
      <c r="O1327" s="1468"/>
    </row>
    <row r="1328" spans="11:15">
      <c r="K1328" s="1465">
        <v>43385</v>
      </c>
      <c r="L1328" s="1466"/>
      <c r="M1328" s="1467">
        <v>0</v>
      </c>
      <c r="N1328" s="1468">
        <v>1.4656496792117459</v>
      </c>
      <c r="O1328" s="1468"/>
    </row>
    <row r="1329" spans="11:15">
      <c r="K1329" s="1465">
        <v>43386</v>
      </c>
      <c r="L1329" s="1466"/>
      <c r="M1329" s="1467">
        <v>0</v>
      </c>
      <c r="N1329" s="1468">
        <v>1.4656496792117459</v>
      </c>
      <c r="O1329" s="1468"/>
    </row>
    <row r="1330" spans="11:15">
      <c r="K1330" s="1465">
        <v>43387</v>
      </c>
      <c r="L1330" s="1466"/>
      <c r="M1330" s="1467">
        <v>0</v>
      </c>
      <c r="N1330" s="1468">
        <v>1.4656496792117459</v>
      </c>
      <c r="O1330" s="1468"/>
    </row>
    <row r="1331" spans="11:15">
      <c r="K1331" s="1465">
        <v>43388</v>
      </c>
      <c r="L1331" s="1466" t="s">
        <v>2125</v>
      </c>
      <c r="M1331" s="1467">
        <v>2.462E-2</v>
      </c>
      <c r="N1331" s="1468">
        <v>1.4660105221627679</v>
      </c>
      <c r="O1331" s="1468"/>
    </row>
    <row r="1332" spans="11:15">
      <c r="K1332" s="1465">
        <v>43389</v>
      </c>
      <c r="L1332" s="1466" t="s">
        <v>2125</v>
      </c>
      <c r="M1332" s="1467">
        <v>2.462E-2</v>
      </c>
      <c r="N1332" s="1468">
        <v>1.4663714539533246</v>
      </c>
      <c r="O1332" s="1468"/>
    </row>
    <row r="1333" spans="11:15">
      <c r="K1333" s="1465">
        <v>43390</v>
      </c>
      <c r="L1333" s="1466" t="s">
        <v>2125</v>
      </c>
      <c r="M1333" s="1467">
        <v>2.462E-2</v>
      </c>
      <c r="N1333" s="1468">
        <v>1.4667324746052881</v>
      </c>
      <c r="O1333" s="1468"/>
    </row>
    <row r="1334" spans="11:15">
      <c r="K1334" s="1465">
        <v>43391</v>
      </c>
      <c r="L1334" s="1466" t="s">
        <v>2125</v>
      </c>
      <c r="M1334" s="1467">
        <v>2.462E-2</v>
      </c>
      <c r="N1334" s="1468">
        <v>1.4670935841405361</v>
      </c>
      <c r="O1334" s="1468"/>
    </row>
    <row r="1335" spans="11:15">
      <c r="K1335" s="1465">
        <v>43392</v>
      </c>
      <c r="L1335" s="1466" t="s">
        <v>2125</v>
      </c>
      <c r="M1335" s="1467">
        <v>2.462E-2</v>
      </c>
      <c r="N1335" s="1468">
        <v>1.4674547825809516</v>
      </c>
      <c r="O1335" s="1468"/>
    </row>
    <row r="1336" spans="11:15">
      <c r="K1336" s="1465">
        <v>43393</v>
      </c>
      <c r="L1336" s="1466"/>
      <c r="M1336" s="1467">
        <v>0</v>
      </c>
      <c r="N1336" s="1468">
        <v>1.4674547825809516</v>
      </c>
      <c r="O1336" s="1468"/>
    </row>
    <row r="1337" spans="11:15">
      <c r="K1337" s="1465">
        <v>43394</v>
      </c>
      <c r="L1337" s="1466"/>
      <c r="M1337" s="1467">
        <v>0</v>
      </c>
      <c r="N1337" s="1468">
        <v>1.4674547825809516</v>
      </c>
      <c r="O1337" s="1468"/>
    </row>
    <row r="1338" spans="11:15">
      <c r="K1338" s="1465">
        <v>43395</v>
      </c>
      <c r="L1338" s="1466" t="s">
        <v>2125</v>
      </c>
      <c r="M1338" s="1467">
        <v>2.462E-2</v>
      </c>
      <c r="N1338" s="1468">
        <v>1.4678160699484233</v>
      </c>
      <c r="O1338" s="1468"/>
    </row>
    <row r="1339" spans="11:15">
      <c r="K1339" s="1465">
        <v>43396</v>
      </c>
      <c r="L1339" s="1466" t="s">
        <v>2125</v>
      </c>
      <c r="M1339" s="1467">
        <v>2.462E-2</v>
      </c>
      <c r="N1339" s="1468">
        <v>1.4681774462648447</v>
      </c>
      <c r="O1339" s="1468"/>
    </row>
    <row r="1340" spans="11:15">
      <c r="K1340" s="1465">
        <v>43397</v>
      </c>
      <c r="L1340" s="1466" t="s">
        <v>2125</v>
      </c>
      <c r="M1340" s="1467">
        <v>2.462E-2</v>
      </c>
      <c r="N1340" s="1468">
        <v>1.4685389115521152</v>
      </c>
      <c r="O1340" s="1468"/>
    </row>
    <row r="1341" spans="11:15">
      <c r="K1341" s="1465">
        <v>43398</v>
      </c>
      <c r="L1341" s="1466" t="s">
        <v>2125</v>
      </c>
      <c r="M1341" s="1467">
        <v>2.462E-2</v>
      </c>
      <c r="N1341" s="1468">
        <v>1.4689004658321394</v>
      </c>
      <c r="O1341" s="1468"/>
    </row>
    <row r="1342" spans="11:15">
      <c r="K1342" s="1465">
        <v>43399</v>
      </c>
      <c r="L1342" s="1466" t="s">
        <v>2125</v>
      </c>
      <c r="M1342" s="1467">
        <v>2.462E-2</v>
      </c>
      <c r="N1342" s="1468">
        <v>1.4692621091268274</v>
      </c>
      <c r="O1342" s="1468"/>
    </row>
    <row r="1343" spans="11:15">
      <c r="K1343" s="1465">
        <v>43400</v>
      </c>
      <c r="L1343" s="1466"/>
      <c r="M1343" s="1467">
        <v>0</v>
      </c>
      <c r="N1343" s="1468">
        <v>1.4692621091268274</v>
      </c>
      <c r="O1343" s="1468"/>
    </row>
    <row r="1344" spans="11:15">
      <c r="K1344" s="1465">
        <v>43401</v>
      </c>
      <c r="L1344" s="1466"/>
      <c r="M1344" s="1467">
        <v>0</v>
      </c>
      <c r="N1344" s="1468">
        <v>1.4692621091268274</v>
      </c>
      <c r="O1344" s="1468"/>
    </row>
    <row r="1345" spans="11:15">
      <c r="K1345" s="1465">
        <v>43402</v>
      </c>
      <c r="L1345" s="1466" t="s">
        <v>2125</v>
      </c>
      <c r="M1345" s="1467">
        <v>2.462E-2</v>
      </c>
      <c r="N1345" s="1468">
        <v>1.4696238414580947</v>
      </c>
      <c r="O1345" s="1468"/>
    </row>
    <row r="1346" spans="11:15">
      <c r="K1346" s="1465">
        <v>43403</v>
      </c>
      <c r="L1346" s="1466" t="s">
        <v>2125</v>
      </c>
      <c r="M1346" s="1467">
        <v>2.462E-2</v>
      </c>
      <c r="N1346" s="1468">
        <v>1.4699856628478618</v>
      </c>
      <c r="O1346" s="1468"/>
    </row>
    <row r="1347" spans="11:15">
      <c r="K1347" s="1465">
        <v>43404</v>
      </c>
      <c r="L1347" s="1466" t="s">
        <v>2125</v>
      </c>
      <c r="M1347" s="1467">
        <v>2.462E-2</v>
      </c>
      <c r="N1347" s="1468">
        <v>1.4703475733180551</v>
      </c>
      <c r="O1347" s="1468"/>
    </row>
    <row r="1348" spans="11:15">
      <c r="K1348" s="1465">
        <v>43405</v>
      </c>
      <c r="L1348" s="1466" t="s">
        <v>2125</v>
      </c>
      <c r="M1348" s="1467">
        <v>2.462E-2</v>
      </c>
      <c r="N1348" s="1468">
        <v>1.4707095728906061</v>
      </c>
      <c r="O1348" s="1468"/>
    </row>
    <row r="1349" spans="11:15">
      <c r="K1349" s="1465">
        <v>43406</v>
      </c>
      <c r="L1349" s="1466"/>
      <c r="M1349" s="1467">
        <v>0</v>
      </c>
      <c r="N1349" s="1468">
        <v>1.4707095728906061</v>
      </c>
      <c r="O1349" s="1468"/>
    </row>
    <row r="1350" spans="11:15">
      <c r="K1350" s="1465">
        <v>43407</v>
      </c>
      <c r="L1350" s="1466"/>
      <c r="M1350" s="1467">
        <v>0</v>
      </c>
      <c r="N1350" s="1468">
        <v>1.4707095728906061</v>
      </c>
      <c r="O1350" s="1468"/>
    </row>
    <row r="1351" spans="11:15">
      <c r="K1351" s="1465">
        <v>43408</v>
      </c>
      <c r="L1351" s="1466"/>
      <c r="M1351" s="1467">
        <v>0</v>
      </c>
      <c r="N1351" s="1468">
        <v>1.4707095728906061</v>
      </c>
      <c r="O1351" s="1468"/>
    </row>
    <row r="1352" spans="11:15">
      <c r="K1352" s="1465">
        <v>43409</v>
      </c>
      <c r="L1352" s="1466" t="s">
        <v>2125</v>
      </c>
      <c r="M1352" s="1467">
        <v>2.462E-2</v>
      </c>
      <c r="N1352" s="1468">
        <v>1.471071661587452</v>
      </c>
      <c r="O1352" s="1468"/>
    </row>
    <row r="1353" spans="11:15">
      <c r="K1353" s="1465">
        <v>43410</v>
      </c>
      <c r="L1353" s="1466" t="s">
        <v>2125</v>
      </c>
      <c r="M1353" s="1467">
        <v>2.462E-2</v>
      </c>
      <c r="N1353" s="1468">
        <v>1.4714338394305349</v>
      </c>
      <c r="O1353" s="1468"/>
    </row>
    <row r="1354" spans="11:15">
      <c r="K1354" s="1465">
        <v>43411</v>
      </c>
      <c r="L1354" s="1466" t="s">
        <v>2125</v>
      </c>
      <c r="M1354" s="1467">
        <v>2.462E-2</v>
      </c>
      <c r="N1354" s="1468">
        <v>1.4717961064418028</v>
      </c>
      <c r="O1354" s="1468"/>
    </row>
    <row r="1355" spans="11:15">
      <c r="K1355" s="1465">
        <v>43412</v>
      </c>
      <c r="L1355" s="1466" t="s">
        <v>2125</v>
      </c>
      <c r="M1355" s="1467">
        <v>2.462E-2</v>
      </c>
      <c r="N1355" s="1468">
        <v>1.4721584626432089</v>
      </c>
      <c r="O1355" s="1468"/>
    </row>
    <row r="1356" spans="11:15">
      <c r="K1356" s="1465">
        <v>43413</v>
      </c>
      <c r="L1356" s="1466" t="s">
        <v>2125</v>
      </c>
      <c r="M1356" s="1467">
        <v>2.462E-2</v>
      </c>
      <c r="N1356" s="1468">
        <v>1.4725209080567119</v>
      </c>
      <c r="O1356" s="1468"/>
    </row>
    <row r="1357" spans="11:15">
      <c r="K1357" s="1465">
        <v>43414</v>
      </c>
      <c r="L1357" s="1466"/>
      <c r="M1357" s="1467">
        <v>0</v>
      </c>
      <c r="N1357" s="1468">
        <v>1.4725209080567119</v>
      </c>
      <c r="O1357" s="1468"/>
    </row>
    <row r="1358" spans="11:15">
      <c r="K1358" s="1465">
        <v>43415</v>
      </c>
      <c r="L1358" s="1466"/>
      <c r="M1358" s="1467">
        <v>0</v>
      </c>
      <c r="N1358" s="1468">
        <v>1.4725209080567119</v>
      </c>
      <c r="O1358" s="1468"/>
    </row>
    <row r="1359" spans="11:15">
      <c r="K1359" s="1465">
        <v>43416</v>
      </c>
      <c r="L1359" s="1466" t="s">
        <v>2125</v>
      </c>
      <c r="M1359" s="1467">
        <v>2.462E-2</v>
      </c>
      <c r="N1359" s="1468">
        <v>1.4728834427042756</v>
      </c>
      <c r="O1359" s="1468"/>
    </row>
    <row r="1360" spans="11:15">
      <c r="K1360" s="1465">
        <v>43417</v>
      </c>
      <c r="L1360" s="1466" t="s">
        <v>2125</v>
      </c>
      <c r="M1360" s="1467">
        <v>2.462E-2</v>
      </c>
      <c r="N1360" s="1468">
        <v>1.4732460666078695</v>
      </c>
      <c r="O1360" s="1468"/>
    </row>
    <row r="1361" spans="11:15">
      <c r="K1361" s="1465">
        <v>43418</v>
      </c>
      <c r="L1361" s="1466" t="s">
        <v>2125</v>
      </c>
      <c r="M1361" s="1467">
        <v>2.462E-2</v>
      </c>
      <c r="N1361" s="1468">
        <v>1.4736087797894686</v>
      </c>
      <c r="O1361" s="1468"/>
    </row>
    <row r="1362" spans="11:15">
      <c r="K1362" s="1465">
        <v>43419</v>
      </c>
      <c r="L1362" s="1466"/>
      <c r="M1362" s="1467">
        <v>0</v>
      </c>
      <c r="N1362" s="1468">
        <v>1.4736087797894686</v>
      </c>
      <c r="O1362" s="1468"/>
    </row>
    <row r="1363" spans="11:15">
      <c r="K1363" s="1465">
        <v>43420</v>
      </c>
      <c r="L1363" s="1466" t="s">
        <v>2125</v>
      </c>
      <c r="M1363" s="1467">
        <v>2.462E-2</v>
      </c>
      <c r="N1363" s="1468">
        <v>1.4739715822710528</v>
      </c>
      <c r="O1363" s="1468"/>
    </row>
    <row r="1364" spans="11:15">
      <c r="K1364" s="1465">
        <v>43421</v>
      </c>
      <c r="L1364" s="1466"/>
      <c r="M1364" s="1467">
        <v>0</v>
      </c>
      <c r="N1364" s="1468">
        <v>1.4739715822710528</v>
      </c>
      <c r="O1364" s="1468"/>
    </row>
    <row r="1365" spans="11:15">
      <c r="K1365" s="1465">
        <v>43422</v>
      </c>
      <c r="L1365" s="1466"/>
      <c r="M1365" s="1467">
        <v>0</v>
      </c>
      <c r="N1365" s="1468">
        <v>1.4739715822710528</v>
      </c>
      <c r="O1365" s="1468"/>
    </row>
    <row r="1366" spans="11:15">
      <c r="K1366" s="1465">
        <v>43423</v>
      </c>
      <c r="L1366" s="1466" t="s">
        <v>2125</v>
      </c>
      <c r="M1366" s="1467">
        <v>2.462E-2</v>
      </c>
      <c r="N1366" s="1468">
        <v>1.474334474074608</v>
      </c>
      <c r="O1366" s="1468"/>
    </row>
    <row r="1367" spans="11:15">
      <c r="K1367" s="1465">
        <v>43424</v>
      </c>
      <c r="L1367" s="1466" t="s">
        <v>2125</v>
      </c>
      <c r="M1367" s="1467">
        <v>2.462E-2</v>
      </c>
      <c r="N1367" s="1468">
        <v>1.4746974552221253</v>
      </c>
      <c r="O1367" s="1468"/>
    </row>
    <row r="1368" spans="11:15">
      <c r="K1368" s="1465">
        <v>43425</v>
      </c>
      <c r="L1368" s="1466" t="s">
        <v>2125</v>
      </c>
      <c r="M1368" s="1467">
        <v>2.462E-2</v>
      </c>
      <c r="N1368" s="1468">
        <v>1.4750605257356011</v>
      </c>
      <c r="O1368" s="1468"/>
    </row>
    <row r="1369" spans="11:15">
      <c r="K1369" s="1465">
        <v>43426</v>
      </c>
      <c r="L1369" s="1466" t="s">
        <v>2125</v>
      </c>
      <c r="M1369" s="1467">
        <v>2.462E-2</v>
      </c>
      <c r="N1369" s="1468">
        <v>1.4754236856370373</v>
      </c>
      <c r="O1369" s="1468"/>
    </row>
    <row r="1370" spans="11:15">
      <c r="K1370" s="1465">
        <v>43427</v>
      </c>
      <c r="L1370" s="1466" t="s">
        <v>2125</v>
      </c>
      <c r="M1370" s="1467">
        <v>2.462E-2</v>
      </c>
      <c r="N1370" s="1468">
        <v>1.4757869349484412</v>
      </c>
      <c r="O1370" s="1468"/>
    </row>
    <row r="1371" spans="11:15">
      <c r="K1371" s="1465">
        <v>43428</v>
      </c>
      <c r="L1371" s="1466"/>
      <c r="M1371" s="1467">
        <v>0</v>
      </c>
      <c r="N1371" s="1468">
        <v>1.4757869349484412</v>
      </c>
      <c r="O1371" s="1468"/>
    </row>
    <row r="1372" spans="11:15">
      <c r="K1372" s="1465">
        <v>43429</v>
      </c>
      <c r="L1372" s="1466"/>
      <c r="M1372" s="1467">
        <v>0</v>
      </c>
      <c r="N1372" s="1468">
        <v>1.4757869349484412</v>
      </c>
      <c r="O1372" s="1468"/>
    </row>
    <row r="1373" spans="11:15">
      <c r="K1373" s="1465">
        <v>43430</v>
      </c>
      <c r="L1373" s="1466" t="s">
        <v>2125</v>
      </c>
      <c r="M1373" s="1467">
        <v>2.462E-2</v>
      </c>
      <c r="N1373" s="1468">
        <v>1.4761502736918255</v>
      </c>
      <c r="O1373" s="1468"/>
    </row>
    <row r="1374" spans="11:15">
      <c r="K1374" s="1465">
        <v>43431</v>
      </c>
      <c r="L1374" s="1466" t="s">
        <v>2125</v>
      </c>
      <c r="M1374" s="1467">
        <v>2.462E-2</v>
      </c>
      <c r="N1374" s="1468">
        <v>1.4765137018892085</v>
      </c>
      <c r="O1374" s="1468"/>
    </row>
    <row r="1375" spans="11:15">
      <c r="K1375" s="1465">
        <v>43432</v>
      </c>
      <c r="L1375" s="1466" t="s">
        <v>2125</v>
      </c>
      <c r="M1375" s="1467">
        <v>2.462E-2</v>
      </c>
      <c r="N1375" s="1468">
        <v>1.4768772195626136</v>
      </c>
      <c r="O1375" s="1468"/>
    </row>
    <row r="1376" spans="11:15">
      <c r="K1376" s="1465">
        <v>43433</v>
      </c>
      <c r="L1376" s="1466" t="s">
        <v>2125</v>
      </c>
      <c r="M1376" s="1467">
        <v>2.462E-2</v>
      </c>
      <c r="N1376" s="1468">
        <v>1.47724082673407</v>
      </c>
      <c r="O1376" s="1468"/>
    </row>
    <row r="1377" spans="11:15">
      <c r="K1377" s="1465">
        <v>43434</v>
      </c>
      <c r="L1377" s="1466" t="s">
        <v>2125</v>
      </c>
      <c r="M1377" s="1467">
        <v>2.462E-2</v>
      </c>
      <c r="N1377" s="1468">
        <v>1.4776045234256121</v>
      </c>
      <c r="O1377" s="1468"/>
    </row>
    <row r="1378" spans="11:15">
      <c r="K1378" s="1465">
        <v>43435</v>
      </c>
      <c r="L1378" s="1466"/>
      <c r="M1378" s="1467">
        <v>0</v>
      </c>
      <c r="N1378" s="1468">
        <v>1.4776045234256121</v>
      </c>
      <c r="O1378" s="1468"/>
    </row>
    <row r="1379" spans="11:15">
      <c r="K1379" s="1465">
        <v>43436</v>
      </c>
      <c r="L1379" s="1466"/>
      <c r="M1379" s="1467">
        <v>0</v>
      </c>
      <c r="N1379" s="1468">
        <v>1.4776045234256121</v>
      </c>
      <c r="O1379" s="1468"/>
    </row>
    <row r="1380" spans="11:15">
      <c r="K1380" s="1465">
        <v>43437</v>
      </c>
      <c r="L1380" s="1466" t="s">
        <v>2125</v>
      </c>
      <c r="M1380" s="1467">
        <v>2.462E-2</v>
      </c>
      <c r="N1380" s="1468">
        <v>1.4779683096592797</v>
      </c>
      <c r="O1380" s="1468"/>
    </row>
    <row r="1381" spans="11:15">
      <c r="K1381" s="1465">
        <v>43438</v>
      </c>
      <c r="L1381" s="1466" t="s">
        <v>2125</v>
      </c>
      <c r="M1381" s="1467">
        <v>2.462E-2</v>
      </c>
      <c r="N1381" s="1468">
        <v>1.4783321854571179</v>
      </c>
      <c r="O1381" s="1468"/>
    </row>
    <row r="1382" spans="11:15">
      <c r="K1382" s="1465">
        <v>43439</v>
      </c>
      <c r="L1382" s="1466" t="s">
        <v>2125</v>
      </c>
      <c r="M1382" s="1467">
        <v>2.462E-2</v>
      </c>
      <c r="N1382" s="1468">
        <v>1.4786961508411776</v>
      </c>
      <c r="O1382" s="1468"/>
    </row>
    <row r="1383" spans="11:15">
      <c r="K1383" s="1465">
        <v>43440</v>
      </c>
      <c r="L1383" s="1466" t="s">
        <v>2125</v>
      </c>
      <c r="M1383" s="1467">
        <v>2.462E-2</v>
      </c>
      <c r="N1383" s="1468">
        <v>1.4790602058335147</v>
      </c>
      <c r="O1383" s="1468"/>
    </row>
    <row r="1384" spans="11:15">
      <c r="K1384" s="1465">
        <v>43441</v>
      </c>
      <c r="L1384" s="1466" t="s">
        <v>2125</v>
      </c>
      <c r="M1384" s="1467">
        <v>2.462E-2</v>
      </c>
      <c r="N1384" s="1468">
        <v>1.479424350456191</v>
      </c>
      <c r="O1384" s="1468"/>
    </row>
    <row r="1385" spans="11:15">
      <c r="K1385" s="1465">
        <v>43442</v>
      </c>
      <c r="L1385" s="1466"/>
      <c r="M1385" s="1467">
        <v>0</v>
      </c>
      <c r="N1385" s="1468">
        <v>1.479424350456191</v>
      </c>
      <c r="O1385" s="1468"/>
    </row>
    <row r="1386" spans="11:15">
      <c r="K1386" s="1465">
        <v>43443</v>
      </c>
      <c r="L1386" s="1466"/>
      <c r="M1386" s="1467">
        <v>0</v>
      </c>
      <c r="N1386" s="1468">
        <v>1.479424350456191</v>
      </c>
      <c r="O1386" s="1468"/>
    </row>
    <row r="1387" spans="11:15">
      <c r="K1387" s="1465">
        <v>43444</v>
      </c>
      <c r="L1387" s="1466" t="s">
        <v>2125</v>
      </c>
      <c r="M1387" s="1467">
        <v>2.462E-2</v>
      </c>
      <c r="N1387" s="1468">
        <v>1.4797885847312735</v>
      </c>
      <c r="O1387" s="1468"/>
    </row>
    <row r="1388" spans="11:15">
      <c r="K1388" s="1465">
        <v>43445</v>
      </c>
      <c r="L1388" s="1466" t="s">
        <v>2125</v>
      </c>
      <c r="M1388" s="1467">
        <v>2.462E-2</v>
      </c>
      <c r="N1388" s="1468">
        <v>1.4801529086808345</v>
      </c>
      <c r="O1388" s="1468"/>
    </row>
    <row r="1389" spans="11:15">
      <c r="K1389" s="1465">
        <v>43446</v>
      </c>
      <c r="L1389" s="1466" t="s">
        <v>2125</v>
      </c>
      <c r="M1389" s="1467">
        <v>2.462E-2</v>
      </c>
      <c r="N1389" s="1468">
        <v>1.4805173223269519</v>
      </c>
      <c r="O1389" s="1468"/>
    </row>
    <row r="1390" spans="11:15">
      <c r="K1390" s="1465">
        <v>43447</v>
      </c>
      <c r="L1390" s="1466" t="s">
        <v>2125</v>
      </c>
      <c r="M1390" s="1467">
        <v>2.462E-2</v>
      </c>
      <c r="N1390" s="1468">
        <v>1.4808818256917089</v>
      </c>
      <c r="O1390" s="1468"/>
    </row>
    <row r="1391" spans="11:15">
      <c r="K1391" s="1465">
        <v>43448</v>
      </c>
      <c r="L1391" s="1466" t="s">
        <v>2125</v>
      </c>
      <c r="M1391" s="1467">
        <v>2.462E-2</v>
      </c>
      <c r="N1391" s="1468">
        <v>1.4812464187971943</v>
      </c>
      <c r="O1391" s="1468"/>
    </row>
    <row r="1392" spans="11:15">
      <c r="K1392" s="1465">
        <v>43449</v>
      </c>
      <c r="L1392" s="1466"/>
      <c r="M1392" s="1467">
        <v>0</v>
      </c>
      <c r="N1392" s="1468">
        <v>1.4812464187971943</v>
      </c>
      <c r="O1392" s="1468"/>
    </row>
    <row r="1393" spans="11:15">
      <c r="K1393" s="1465">
        <v>43450</v>
      </c>
      <c r="L1393" s="1466"/>
      <c r="M1393" s="1467">
        <v>0</v>
      </c>
      <c r="N1393" s="1468">
        <v>1.4812464187971943</v>
      </c>
      <c r="O1393" s="1468"/>
    </row>
    <row r="1394" spans="11:15">
      <c r="K1394" s="1465">
        <v>43451</v>
      </c>
      <c r="L1394" s="1466" t="s">
        <v>2125</v>
      </c>
      <c r="M1394" s="1467">
        <v>2.462E-2</v>
      </c>
      <c r="N1394" s="1468">
        <v>1.4816111016655023</v>
      </c>
      <c r="O1394" s="1468"/>
    </row>
    <row r="1395" spans="11:15">
      <c r="K1395" s="1465">
        <v>43452</v>
      </c>
      <c r="L1395" s="1466" t="s">
        <v>2125</v>
      </c>
      <c r="M1395" s="1467">
        <v>2.462E-2</v>
      </c>
      <c r="N1395" s="1468">
        <v>1.4819758743187323</v>
      </c>
      <c r="O1395" s="1468"/>
    </row>
    <row r="1396" spans="11:15">
      <c r="K1396" s="1465">
        <v>43453</v>
      </c>
      <c r="L1396" s="1466" t="s">
        <v>2125</v>
      </c>
      <c r="M1396" s="1467">
        <v>2.462E-2</v>
      </c>
      <c r="N1396" s="1468">
        <v>1.4823407367789898</v>
      </c>
      <c r="O1396" s="1468"/>
    </row>
    <row r="1397" spans="11:15">
      <c r="K1397" s="1465">
        <v>43454</v>
      </c>
      <c r="L1397" s="1466" t="s">
        <v>2125</v>
      </c>
      <c r="M1397" s="1467">
        <v>2.462E-2</v>
      </c>
      <c r="N1397" s="1468">
        <v>1.482705689068385</v>
      </c>
      <c r="O1397" s="1468"/>
    </row>
    <row r="1398" spans="11:15">
      <c r="K1398" s="1465">
        <v>43455</v>
      </c>
      <c r="L1398" s="1466" t="s">
        <v>2125</v>
      </c>
      <c r="M1398" s="1467">
        <v>2.462E-2</v>
      </c>
      <c r="N1398" s="1468">
        <v>1.4830707312090337</v>
      </c>
      <c r="O1398" s="1468"/>
    </row>
    <row r="1399" spans="11:15">
      <c r="K1399" s="1465">
        <v>43456</v>
      </c>
      <c r="L1399" s="1466"/>
      <c r="M1399" s="1467">
        <v>0</v>
      </c>
      <c r="N1399" s="1468">
        <v>1.4830707312090337</v>
      </c>
      <c r="O1399" s="1468"/>
    </row>
    <row r="1400" spans="11:15">
      <c r="K1400" s="1465">
        <v>43457</v>
      </c>
      <c r="L1400" s="1466"/>
      <c r="M1400" s="1467">
        <v>0</v>
      </c>
      <c r="N1400" s="1468">
        <v>1.4830707312090337</v>
      </c>
      <c r="O1400" s="1468"/>
    </row>
    <row r="1401" spans="11:15">
      <c r="K1401" s="1465">
        <v>43458</v>
      </c>
      <c r="L1401" s="1466" t="s">
        <v>2125</v>
      </c>
      <c r="M1401" s="1467">
        <v>2.462E-2</v>
      </c>
      <c r="N1401" s="1468">
        <v>1.4834358632230575</v>
      </c>
      <c r="O1401" s="1468"/>
    </row>
    <row r="1402" spans="11:15">
      <c r="K1402" s="1465">
        <v>43459</v>
      </c>
      <c r="L1402" s="1466"/>
      <c r="M1402" s="1467">
        <v>0</v>
      </c>
      <c r="N1402" s="1468">
        <v>1.4834358632230575</v>
      </c>
      <c r="O1402" s="1468"/>
    </row>
    <row r="1403" spans="11:15">
      <c r="K1403" s="1465">
        <v>43460</v>
      </c>
      <c r="L1403" s="1466" t="s">
        <v>2125</v>
      </c>
      <c r="M1403" s="1467">
        <v>2.462E-2</v>
      </c>
      <c r="N1403" s="1468">
        <v>1.4838010851325831</v>
      </c>
      <c r="O1403" s="1468"/>
    </row>
    <row r="1404" spans="11:15">
      <c r="K1404" s="1465">
        <v>43461</v>
      </c>
      <c r="L1404" s="1466" t="s">
        <v>2125</v>
      </c>
      <c r="M1404" s="1467">
        <v>2.462E-2</v>
      </c>
      <c r="N1404" s="1468">
        <v>1.484166396959743</v>
      </c>
      <c r="O1404" s="1468"/>
    </row>
    <row r="1405" spans="11:15">
      <c r="K1405" s="1465">
        <v>43462</v>
      </c>
      <c r="L1405" s="1466" t="s">
        <v>2125</v>
      </c>
      <c r="M1405" s="1467">
        <v>2.462E-2</v>
      </c>
      <c r="N1405" s="1468">
        <v>1.4845317987266746</v>
      </c>
      <c r="O1405" s="1468"/>
    </row>
    <row r="1406" spans="11:15">
      <c r="K1406" s="1465">
        <v>43463</v>
      </c>
      <c r="L1406" s="1466"/>
      <c r="M1406" s="1467">
        <v>0</v>
      </c>
      <c r="N1406" s="1468">
        <v>1.4845317987266746</v>
      </c>
      <c r="O1406" s="1468"/>
    </row>
    <row r="1407" spans="11:15">
      <c r="K1407" s="1465">
        <v>43464</v>
      </c>
      <c r="L1407" s="1466"/>
      <c r="M1407" s="1467">
        <v>0</v>
      </c>
      <c r="N1407" s="1468">
        <v>1.4845317987266746</v>
      </c>
      <c r="O1407" s="1468"/>
    </row>
    <row r="1408" spans="11:15">
      <c r="K1408" s="1465">
        <v>43465</v>
      </c>
      <c r="L1408" s="1466" t="s">
        <v>2125</v>
      </c>
      <c r="M1408" s="1467">
        <v>2.462E-2</v>
      </c>
      <c r="N1408" s="1468">
        <v>1.4848972904555213</v>
      </c>
      <c r="O1408" s="1468"/>
    </row>
    <row r="1409" spans="11:15">
      <c r="K1409" s="1465">
        <v>43466</v>
      </c>
      <c r="L1409" s="1466"/>
      <c r="M1409" s="1467">
        <v>0</v>
      </c>
      <c r="N1409" s="1468">
        <v>1.4848972904555213</v>
      </c>
      <c r="O1409" s="1468"/>
    </row>
    <row r="1410" spans="11:15">
      <c r="K1410" s="1465">
        <v>43467</v>
      </c>
      <c r="L1410" s="1466" t="s">
        <v>2125</v>
      </c>
      <c r="M1410" s="1467">
        <v>2.462E-2</v>
      </c>
      <c r="N1410" s="1468">
        <v>1.4852628721684316</v>
      </c>
      <c r="O1410" s="1468"/>
    </row>
    <row r="1411" spans="11:15">
      <c r="K1411" s="1465">
        <v>43468</v>
      </c>
      <c r="L1411" s="1466" t="s">
        <v>2125</v>
      </c>
      <c r="M1411" s="1467">
        <v>2.462E-2</v>
      </c>
      <c r="N1411" s="1468">
        <v>1.4856285438875596</v>
      </c>
      <c r="O1411" s="1468"/>
    </row>
    <row r="1412" spans="11:15">
      <c r="K1412" s="1465">
        <v>43469</v>
      </c>
      <c r="L1412" s="1466" t="s">
        <v>2125</v>
      </c>
      <c r="M1412" s="1467">
        <v>2.462E-2</v>
      </c>
      <c r="N1412" s="1468">
        <v>1.4859943056350648</v>
      </c>
      <c r="O1412" s="1468"/>
    </row>
    <row r="1413" spans="11:15">
      <c r="K1413" s="1465">
        <v>43470</v>
      </c>
      <c r="L1413" s="1466"/>
      <c r="M1413" s="1467">
        <v>0</v>
      </c>
      <c r="N1413" s="1468">
        <v>1.4859943056350648</v>
      </c>
      <c r="O1413" s="1468"/>
    </row>
    <row r="1414" spans="11:15">
      <c r="K1414" s="1465">
        <v>43471</v>
      </c>
      <c r="L1414" s="1466"/>
      <c r="M1414" s="1467">
        <v>0</v>
      </c>
      <c r="N1414" s="1468">
        <v>1.4859943056350648</v>
      </c>
      <c r="O1414" s="1468"/>
    </row>
    <row r="1415" spans="11:15">
      <c r="K1415" s="1465">
        <v>43472</v>
      </c>
      <c r="L1415" s="1466" t="s">
        <v>2125</v>
      </c>
      <c r="M1415" s="1467">
        <v>2.462E-2</v>
      </c>
      <c r="N1415" s="1468">
        <v>1.4863601574331122</v>
      </c>
      <c r="O1415" s="1468"/>
    </row>
    <row r="1416" spans="11:15">
      <c r="K1416" s="1465">
        <v>43473</v>
      </c>
      <c r="L1416" s="1466" t="s">
        <v>2125</v>
      </c>
      <c r="M1416" s="1467">
        <v>2.462E-2</v>
      </c>
      <c r="N1416" s="1468">
        <v>1.4867260993038725</v>
      </c>
      <c r="O1416" s="1468"/>
    </row>
    <row r="1417" spans="11:15">
      <c r="K1417" s="1465">
        <v>43474</v>
      </c>
      <c r="L1417" s="1466" t="s">
        <v>2125</v>
      </c>
      <c r="M1417" s="1467">
        <v>2.462E-2</v>
      </c>
      <c r="N1417" s="1468">
        <v>1.4870921312695211</v>
      </c>
      <c r="O1417" s="1468"/>
    </row>
    <row r="1418" spans="11:15">
      <c r="K1418" s="1465">
        <v>43475</v>
      </c>
      <c r="L1418" s="1466" t="s">
        <v>2125</v>
      </c>
      <c r="M1418" s="1467">
        <v>2.462E-2</v>
      </c>
      <c r="N1418" s="1468">
        <v>1.4874582533522398</v>
      </c>
      <c r="O1418" s="1468"/>
    </row>
    <row r="1419" spans="11:15">
      <c r="K1419" s="1465">
        <v>43476</v>
      </c>
      <c r="L1419" s="1466" t="s">
        <v>2125</v>
      </c>
      <c r="M1419" s="1467">
        <v>2.462E-2</v>
      </c>
      <c r="N1419" s="1468">
        <v>1.4878244655742152</v>
      </c>
      <c r="O1419" s="1468"/>
    </row>
    <row r="1420" spans="11:15">
      <c r="K1420" s="1465">
        <v>43477</v>
      </c>
      <c r="L1420" s="1466"/>
      <c r="M1420" s="1467">
        <v>0</v>
      </c>
      <c r="N1420" s="1468">
        <v>1.4878244655742152</v>
      </c>
      <c r="O1420" s="1468"/>
    </row>
    <row r="1421" spans="11:15">
      <c r="K1421" s="1465">
        <v>43478</v>
      </c>
      <c r="L1421" s="1466"/>
      <c r="M1421" s="1467">
        <v>0</v>
      </c>
      <c r="N1421" s="1468">
        <v>1.4878244655742152</v>
      </c>
      <c r="O1421" s="1468"/>
    </row>
    <row r="1422" spans="11:15">
      <c r="K1422" s="1465">
        <v>43479</v>
      </c>
      <c r="L1422" s="1466" t="s">
        <v>2125</v>
      </c>
      <c r="M1422" s="1467">
        <v>2.462E-2</v>
      </c>
      <c r="N1422" s="1468">
        <v>1.4881907679576396</v>
      </c>
      <c r="O1422" s="1468"/>
    </row>
    <row r="1423" spans="11:15">
      <c r="K1423" s="1465">
        <v>43480</v>
      </c>
      <c r="L1423" s="1466" t="s">
        <v>2125</v>
      </c>
      <c r="M1423" s="1467">
        <v>2.462E-2</v>
      </c>
      <c r="N1423" s="1468">
        <v>1.488557160524711</v>
      </c>
      <c r="O1423" s="1468"/>
    </row>
    <row r="1424" spans="11:15">
      <c r="K1424" s="1465">
        <v>43481</v>
      </c>
      <c r="L1424" s="1466" t="s">
        <v>2125</v>
      </c>
      <c r="M1424" s="1467">
        <v>2.462E-2</v>
      </c>
      <c r="N1424" s="1468">
        <v>1.4889236432976323</v>
      </c>
      <c r="O1424" s="1468"/>
    </row>
    <row r="1425" spans="11:15">
      <c r="K1425" s="1465">
        <v>43482</v>
      </c>
      <c r="L1425" s="1466" t="s">
        <v>2125</v>
      </c>
      <c r="M1425" s="1467">
        <v>2.462E-2</v>
      </c>
      <c r="N1425" s="1468">
        <v>1.4892902162986124</v>
      </c>
      <c r="O1425" s="1468"/>
    </row>
    <row r="1426" spans="11:15">
      <c r="K1426" s="1465">
        <v>43483</v>
      </c>
      <c r="L1426" s="1466" t="s">
        <v>2125</v>
      </c>
      <c r="M1426" s="1467">
        <v>2.462E-2</v>
      </c>
      <c r="N1426" s="1468">
        <v>1.4896568795498653</v>
      </c>
      <c r="O1426" s="1468"/>
    </row>
    <row r="1427" spans="11:15">
      <c r="K1427" s="1465">
        <v>43484</v>
      </c>
      <c r="L1427" s="1466"/>
      <c r="M1427" s="1467">
        <v>0</v>
      </c>
      <c r="N1427" s="1468">
        <v>1.4896568795498653</v>
      </c>
      <c r="O1427" s="1468"/>
    </row>
    <row r="1428" spans="11:15">
      <c r="K1428" s="1465">
        <v>43485</v>
      </c>
      <c r="L1428" s="1466"/>
      <c r="M1428" s="1467">
        <v>0</v>
      </c>
      <c r="N1428" s="1468">
        <v>1.4896568795498653</v>
      </c>
      <c r="O1428" s="1468"/>
    </row>
    <row r="1429" spans="11:15">
      <c r="K1429" s="1465">
        <v>43486</v>
      </c>
      <c r="L1429" s="1466" t="s">
        <v>2125</v>
      </c>
      <c r="M1429" s="1467">
        <v>2.462E-2</v>
      </c>
      <c r="N1429" s="1468">
        <v>1.4900236330736105</v>
      </c>
      <c r="O1429" s="1468"/>
    </row>
    <row r="1430" spans="11:15">
      <c r="K1430" s="1465">
        <v>43487</v>
      </c>
      <c r="L1430" s="1466" t="s">
        <v>2125</v>
      </c>
      <c r="M1430" s="1467">
        <v>2.462E-2</v>
      </c>
      <c r="N1430" s="1468">
        <v>1.4903904768920733</v>
      </c>
      <c r="O1430" s="1468"/>
    </row>
    <row r="1431" spans="11:15">
      <c r="K1431" s="1465">
        <v>43488</v>
      </c>
      <c r="L1431" s="1466" t="s">
        <v>2125</v>
      </c>
      <c r="M1431" s="1467">
        <v>2.462E-2</v>
      </c>
      <c r="N1431" s="1468">
        <v>1.4907574110274842</v>
      </c>
      <c r="O1431" s="1468"/>
    </row>
    <row r="1432" spans="11:15">
      <c r="K1432" s="1465">
        <v>43489</v>
      </c>
      <c r="L1432" s="1466" t="s">
        <v>2125</v>
      </c>
      <c r="M1432" s="1467">
        <v>2.462E-2</v>
      </c>
      <c r="N1432" s="1468">
        <v>1.4911244355020792</v>
      </c>
      <c r="O1432" s="1468"/>
    </row>
    <row r="1433" spans="11:15">
      <c r="K1433" s="1465">
        <v>43490</v>
      </c>
      <c r="L1433" s="1466" t="s">
        <v>2125</v>
      </c>
      <c r="M1433" s="1467">
        <v>2.462E-2</v>
      </c>
      <c r="N1433" s="1468">
        <v>1.4914915503380999</v>
      </c>
      <c r="O1433" s="1468"/>
    </row>
    <row r="1434" spans="11:15">
      <c r="K1434" s="1465">
        <v>43491</v>
      </c>
      <c r="L1434" s="1466"/>
      <c r="M1434" s="1467">
        <v>0</v>
      </c>
      <c r="N1434" s="1468">
        <v>1.4914915503380999</v>
      </c>
      <c r="O1434" s="1468"/>
    </row>
    <row r="1435" spans="11:15">
      <c r="K1435" s="1465">
        <v>43492</v>
      </c>
      <c r="L1435" s="1466"/>
      <c r="M1435" s="1467">
        <v>0</v>
      </c>
      <c r="N1435" s="1468">
        <v>1.4914915503380999</v>
      </c>
      <c r="O1435" s="1468"/>
    </row>
    <row r="1436" spans="11:15">
      <c r="K1436" s="1465">
        <v>43493</v>
      </c>
      <c r="L1436" s="1466" t="s">
        <v>2125</v>
      </c>
      <c r="M1436" s="1467">
        <v>2.462E-2</v>
      </c>
      <c r="N1436" s="1468">
        <v>1.4918587555577933</v>
      </c>
      <c r="O1436" s="1468"/>
    </row>
    <row r="1437" spans="11:15">
      <c r="K1437" s="1465">
        <v>43494</v>
      </c>
      <c r="L1437" s="1466" t="s">
        <v>2125</v>
      </c>
      <c r="M1437" s="1467">
        <v>2.462E-2</v>
      </c>
      <c r="N1437" s="1468">
        <v>1.4922260511834118</v>
      </c>
      <c r="O1437" s="1468"/>
    </row>
    <row r="1438" spans="11:15">
      <c r="K1438" s="1465">
        <v>43495</v>
      </c>
      <c r="L1438" s="1466" t="s">
        <v>2125</v>
      </c>
      <c r="M1438" s="1467">
        <v>2.462E-2</v>
      </c>
      <c r="N1438" s="1468">
        <v>1.4925934372372132</v>
      </c>
      <c r="O1438" s="1468"/>
    </row>
    <row r="1439" spans="11:15">
      <c r="K1439" s="1465">
        <v>43496</v>
      </c>
      <c r="L1439" s="1466" t="s">
        <v>2125</v>
      </c>
      <c r="M1439" s="1467">
        <v>2.462E-2</v>
      </c>
      <c r="N1439" s="1468">
        <v>1.492960913741461</v>
      </c>
      <c r="O1439" s="1468"/>
    </row>
    <row r="1440" spans="11:15">
      <c r="K1440" s="1465">
        <v>43497</v>
      </c>
      <c r="L1440" s="1466" t="s">
        <v>2125</v>
      </c>
      <c r="M1440" s="1467">
        <v>2.462E-2</v>
      </c>
      <c r="N1440" s="1468">
        <v>1.4933284807184244</v>
      </c>
      <c r="O1440" s="1468"/>
    </row>
    <row r="1441" spans="11:15">
      <c r="K1441" s="1465">
        <v>43498</v>
      </c>
      <c r="L1441" s="1466"/>
      <c r="M1441" s="1467">
        <v>0</v>
      </c>
      <c r="N1441" s="1468">
        <v>1.4933284807184244</v>
      </c>
      <c r="O1441" s="1468"/>
    </row>
    <row r="1442" spans="11:15">
      <c r="K1442" s="1465">
        <v>43499</v>
      </c>
      <c r="L1442" s="1466"/>
      <c r="M1442" s="1467">
        <v>0</v>
      </c>
      <c r="N1442" s="1468">
        <v>1.4933284807184244</v>
      </c>
      <c r="O1442" s="1468"/>
    </row>
    <row r="1443" spans="11:15">
      <c r="K1443" s="1465">
        <v>43500</v>
      </c>
      <c r="L1443" s="1466" t="s">
        <v>2125</v>
      </c>
      <c r="M1443" s="1467">
        <v>2.462E-2</v>
      </c>
      <c r="N1443" s="1468">
        <v>1.4936961381903775</v>
      </c>
      <c r="O1443" s="1468"/>
    </row>
    <row r="1444" spans="11:15">
      <c r="K1444" s="1465">
        <v>43501</v>
      </c>
      <c r="L1444" s="1466" t="s">
        <v>2125</v>
      </c>
      <c r="M1444" s="1467">
        <v>2.462E-2</v>
      </c>
      <c r="N1444" s="1468">
        <v>1.4940638861796001</v>
      </c>
      <c r="O1444" s="1468"/>
    </row>
    <row r="1445" spans="11:15">
      <c r="K1445" s="1465">
        <v>43502</v>
      </c>
      <c r="L1445" s="1466" t="s">
        <v>2125</v>
      </c>
      <c r="M1445" s="1467">
        <v>2.462E-2</v>
      </c>
      <c r="N1445" s="1468">
        <v>1.4944317247083776</v>
      </c>
      <c r="O1445" s="1468"/>
    </row>
    <row r="1446" spans="11:15">
      <c r="K1446" s="1465">
        <v>43503</v>
      </c>
      <c r="L1446" s="1466" t="s">
        <v>2125</v>
      </c>
      <c r="M1446" s="1467">
        <v>2.462E-2</v>
      </c>
      <c r="N1446" s="1468">
        <v>1.4947996537990009</v>
      </c>
      <c r="O1446" s="1468"/>
    </row>
    <row r="1447" spans="11:15">
      <c r="K1447" s="1465">
        <v>43504</v>
      </c>
      <c r="L1447" s="1466" t="s">
        <v>2125</v>
      </c>
      <c r="M1447" s="1467">
        <v>2.462E-2</v>
      </c>
      <c r="N1447" s="1468">
        <v>1.4951676734737664</v>
      </c>
      <c r="O1447" s="1468"/>
    </row>
    <row r="1448" spans="11:15">
      <c r="K1448" s="1465">
        <v>43505</v>
      </c>
      <c r="L1448" s="1466"/>
      <c r="M1448" s="1467">
        <v>0</v>
      </c>
      <c r="N1448" s="1468">
        <v>1.4951676734737664</v>
      </c>
      <c r="O1448" s="1468"/>
    </row>
    <row r="1449" spans="11:15">
      <c r="K1449" s="1465">
        <v>43506</v>
      </c>
      <c r="L1449" s="1466"/>
      <c r="M1449" s="1467">
        <v>0</v>
      </c>
      <c r="N1449" s="1468">
        <v>1.4951676734737664</v>
      </c>
      <c r="O1449" s="1468"/>
    </row>
    <row r="1450" spans="11:15">
      <c r="K1450" s="1465">
        <v>43507</v>
      </c>
      <c r="L1450" s="1466" t="s">
        <v>2125</v>
      </c>
      <c r="M1450" s="1467">
        <v>2.462E-2</v>
      </c>
      <c r="N1450" s="1468">
        <v>1.4955357837549759</v>
      </c>
      <c r="O1450" s="1468"/>
    </row>
    <row r="1451" spans="11:15">
      <c r="K1451" s="1465">
        <v>43508</v>
      </c>
      <c r="L1451" s="1466" t="s">
        <v>2125</v>
      </c>
      <c r="M1451" s="1467">
        <v>2.462E-2</v>
      </c>
      <c r="N1451" s="1468">
        <v>1.4959039846649365</v>
      </c>
      <c r="O1451" s="1468"/>
    </row>
    <row r="1452" spans="11:15">
      <c r="K1452" s="1465">
        <v>43509</v>
      </c>
      <c r="L1452" s="1466" t="s">
        <v>2125</v>
      </c>
      <c r="M1452" s="1467">
        <v>2.462E-2</v>
      </c>
      <c r="N1452" s="1468">
        <v>1.496272276225961</v>
      </c>
      <c r="O1452" s="1468"/>
    </row>
    <row r="1453" spans="11:15">
      <c r="K1453" s="1465">
        <v>43510</v>
      </c>
      <c r="L1453" s="1466" t="s">
        <v>2125</v>
      </c>
      <c r="M1453" s="1467">
        <v>2.462E-2</v>
      </c>
      <c r="N1453" s="1468">
        <v>1.496640658460368</v>
      </c>
      <c r="O1453" s="1468"/>
    </row>
    <row r="1454" spans="11:15">
      <c r="K1454" s="1465">
        <v>43511</v>
      </c>
      <c r="L1454" s="1466" t="s">
        <v>2125</v>
      </c>
      <c r="M1454" s="1467">
        <v>2.462E-2</v>
      </c>
      <c r="N1454" s="1468">
        <v>1.497009131390481</v>
      </c>
      <c r="O1454" s="1468"/>
    </row>
    <row r="1455" spans="11:15">
      <c r="K1455" s="1465">
        <v>43512</v>
      </c>
      <c r="L1455" s="1466"/>
      <c r="M1455" s="1467">
        <v>0</v>
      </c>
      <c r="N1455" s="1468">
        <v>1.497009131390481</v>
      </c>
      <c r="O1455" s="1468"/>
    </row>
    <row r="1456" spans="11:15">
      <c r="K1456" s="1465">
        <v>43513</v>
      </c>
      <c r="L1456" s="1466"/>
      <c r="M1456" s="1467">
        <v>0</v>
      </c>
      <c r="N1456" s="1468">
        <v>1.497009131390481</v>
      </c>
      <c r="O1456" s="1468"/>
    </row>
    <row r="1457" spans="11:15">
      <c r="K1457" s="1465">
        <v>43514</v>
      </c>
      <c r="L1457" s="1466" t="s">
        <v>2125</v>
      </c>
      <c r="M1457" s="1467">
        <v>2.462E-2</v>
      </c>
      <c r="N1457" s="1468">
        <v>1.4973776950386295</v>
      </c>
      <c r="O1457" s="1468"/>
    </row>
    <row r="1458" spans="11:15">
      <c r="K1458" s="1465">
        <v>43515</v>
      </c>
      <c r="L1458" s="1466" t="s">
        <v>2125</v>
      </c>
      <c r="M1458" s="1467">
        <v>2.462E-2</v>
      </c>
      <c r="N1458" s="1468">
        <v>1.4977463494271481</v>
      </c>
      <c r="O1458" s="1468"/>
    </row>
    <row r="1459" spans="11:15">
      <c r="K1459" s="1465">
        <v>43516</v>
      </c>
      <c r="L1459" s="1466" t="s">
        <v>2125</v>
      </c>
      <c r="M1459" s="1467">
        <v>2.462E-2</v>
      </c>
      <c r="N1459" s="1468">
        <v>1.4981150945783772</v>
      </c>
      <c r="O1459" s="1468"/>
    </row>
    <row r="1460" spans="11:15">
      <c r="K1460" s="1465">
        <v>43517</v>
      </c>
      <c r="L1460" s="1466" t="s">
        <v>2125</v>
      </c>
      <c r="M1460" s="1467">
        <v>2.462E-2</v>
      </c>
      <c r="N1460" s="1468">
        <v>1.4984839305146624</v>
      </c>
      <c r="O1460" s="1468"/>
    </row>
    <row r="1461" spans="11:15">
      <c r="K1461" s="1465">
        <v>43518</v>
      </c>
      <c r="L1461" s="1466" t="s">
        <v>2125</v>
      </c>
      <c r="M1461" s="1467">
        <v>2.462E-2</v>
      </c>
      <c r="N1461" s="1468">
        <v>1.4988528572583553</v>
      </c>
      <c r="O1461" s="1468"/>
    </row>
    <row r="1462" spans="11:15">
      <c r="K1462" s="1465">
        <v>43519</v>
      </c>
      <c r="L1462" s="1466"/>
      <c r="M1462" s="1467">
        <v>0</v>
      </c>
      <c r="N1462" s="1468">
        <v>1.4988528572583553</v>
      </c>
      <c r="O1462" s="1468"/>
    </row>
    <row r="1463" spans="11:15">
      <c r="K1463" s="1465">
        <v>43520</v>
      </c>
      <c r="L1463" s="1466"/>
      <c r="M1463" s="1467">
        <v>0</v>
      </c>
      <c r="N1463" s="1468">
        <v>1.4988528572583553</v>
      </c>
      <c r="O1463" s="1468"/>
    </row>
    <row r="1464" spans="11:15">
      <c r="K1464" s="1465">
        <v>43521</v>
      </c>
      <c r="L1464" s="1466" t="s">
        <v>2125</v>
      </c>
      <c r="M1464" s="1467">
        <v>2.462E-2</v>
      </c>
      <c r="N1464" s="1468">
        <v>1.4992218748318125</v>
      </c>
      <c r="O1464" s="1468"/>
    </row>
    <row r="1465" spans="11:15">
      <c r="K1465" s="1465">
        <v>43522</v>
      </c>
      <c r="L1465" s="1466" t="s">
        <v>2125</v>
      </c>
      <c r="M1465" s="1467">
        <v>2.462E-2</v>
      </c>
      <c r="N1465" s="1468">
        <v>1.4995909832573961</v>
      </c>
      <c r="O1465" s="1468"/>
    </row>
    <row r="1466" spans="11:15">
      <c r="K1466" s="1465">
        <v>43523</v>
      </c>
      <c r="L1466" s="1466" t="s">
        <v>2125</v>
      </c>
      <c r="M1466" s="1467">
        <v>2.462E-2</v>
      </c>
      <c r="N1466" s="1468">
        <v>1.4999601825574742</v>
      </c>
      <c r="O1466" s="1468"/>
    </row>
    <row r="1467" spans="11:15">
      <c r="K1467" s="1465">
        <v>43524</v>
      </c>
      <c r="L1467" s="1466" t="s">
        <v>2125</v>
      </c>
      <c r="M1467" s="1467">
        <v>2.462E-2</v>
      </c>
      <c r="N1467" s="1468">
        <v>1.5003294727544201</v>
      </c>
      <c r="O1467" s="1468"/>
    </row>
    <row r="1468" spans="11:15">
      <c r="K1468" s="1465">
        <v>43525</v>
      </c>
      <c r="L1468" s="1466" t="s">
        <v>2125</v>
      </c>
      <c r="M1468" s="1467">
        <v>2.462E-2</v>
      </c>
      <c r="N1468" s="1468">
        <v>1.5006988538706123</v>
      </c>
      <c r="O1468" s="1468"/>
    </row>
    <row r="1469" spans="11:15">
      <c r="K1469" s="1465">
        <v>43526</v>
      </c>
      <c r="L1469" s="1466"/>
      <c r="M1469" s="1467">
        <v>0</v>
      </c>
      <c r="N1469" s="1468">
        <v>1.5006988538706123</v>
      </c>
      <c r="O1469" s="1468"/>
    </row>
    <row r="1470" spans="11:15">
      <c r="K1470" s="1465">
        <v>43527</v>
      </c>
      <c r="L1470" s="1466"/>
      <c r="M1470" s="1467">
        <v>0</v>
      </c>
      <c r="N1470" s="1468">
        <v>1.5006988538706123</v>
      </c>
      <c r="O1470" s="1468"/>
    </row>
    <row r="1471" spans="11:15">
      <c r="K1471" s="1465">
        <v>43528</v>
      </c>
      <c r="L1471" s="1466"/>
      <c r="M1471" s="1467">
        <v>0</v>
      </c>
      <c r="N1471" s="1468">
        <v>1.5006988538706123</v>
      </c>
      <c r="O1471" s="1468"/>
    </row>
    <row r="1472" spans="11:15">
      <c r="K1472" s="1465">
        <v>43529</v>
      </c>
      <c r="L1472" s="1466"/>
      <c r="M1472" s="1467">
        <v>0</v>
      </c>
      <c r="N1472" s="1468">
        <v>1.5006988538706123</v>
      </c>
      <c r="O1472" s="1468"/>
    </row>
    <row r="1473" spans="11:15">
      <c r="K1473" s="1465">
        <v>43530</v>
      </c>
      <c r="L1473" s="1466" t="s">
        <v>2125</v>
      </c>
      <c r="M1473" s="1467">
        <v>2.462E-2</v>
      </c>
      <c r="N1473" s="1468">
        <v>1.5010683259284354</v>
      </c>
      <c r="O1473" s="1468"/>
    </row>
    <row r="1474" spans="11:15">
      <c r="K1474" s="1465">
        <v>43531</v>
      </c>
      <c r="L1474" s="1466" t="s">
        <v>2125</v>
      </c>
      <c r="M1474" s="1467">
        <v>2.462E-2</v>
      </c>
      <c r="N1474" s="1468">
        <v>1.5014378889502791</v>
      </c>
      <c r="O1474" s="1468"/>
    </row>
    <row r="1475" spans="11:15">
      <c r="K1475" s="1465">
        <v>43532</v>
      </c>
      <c r="L1475" s="1466" t="s">
        <v>2125</v>
      </c>
      <c r="M1475" s="1467">
        <v>2.462E-2</v>
      </c>
      <c r="N1475" s="1468">
        <v>1.5018075429585387</v>
      </c>
      <c r="O1475" s="1468"/>
    </row>
    <row r="1476" spans="11:15">
      <c r="K1476" s="1465">
        <v>43533</v>
      </c>
      <c r="L1476" s="1466"/>
      <c r="M1476" s="1467">
        <v>0</v>
      </c>
      <c r="N1476" s="1468">
        <v>1.5018075429585387</v>
      </c>
      <c r="O1476" s="1468"/>
    </row>
    <row r="1477" spans="11:15">
      <c r="K1477" s="1465">
        <v>43534</v>
      </c>
      <c r="L1477" s="1466"/>
      <c r="M1477" s="1467">
        <v>0</v>
      </c>
      <c r="N1477" s="1468">
        <v>1.5018075429585387</v>
      </c>
      <c r="O1477" s="1468"/>
    </row>
    <row r="1478" spans="11:15">
      <c r="K1478" s="1465">
        <v>43535</v>
      </c>
      <c r="L1478" s="1466" t="s">
        <v>2125</v>
      </c>
      <c r="M1478" s="1467">
        <v>2.462E-2</v>
      </c>
      <c r="N1478" s="1468">
        <v>1.5021772879756152</v>
      </c>
      <c r="O1478" s="1468"/>
    </row>
    <row r="1479" spans="11:15">
      <c r="K1479" s="1465">
        <v>43536</v>
      </c>
      <c r="L1479" s="1466" t="s">
        <v>2125</v>
      </c>
      <c r="M1479" s="1467">
        <v>2.462E-2</v>
      </c>
      <c r="N1479" s="1468">
        <v>1.502547124023915</v>
      </c>
      <c r="O1479" s="1468"/>
    </row>
    <row r="1480" spans="11:15">
      <c r="K1480" s="1465">
        <v>43537</v>
      </c>
      <c r="L1480" s="1466" t="s">
        <v>2125</v>
      </c>
      <c r="M1480" s="1467">
        <v>2.462E-2</v>
      </c>
      <c r="N1480" s="1468">
        <v>1.5029170511258498</v>
      </c>
      <c r="O1480" s="1468"/>
    </row>
    <row r="1481" spans="11:15">
      <c r="K1481" s="1465">
        <v>43538</v>
      </c>
      <c r="L1481" s="1466" t="s">
        <v>2125</v>
      </c>
      <c r="M1481" s="1467">
        <v>2.462E-2</v>
      </c>
      <c r="N1481" s="1468">
        <v>1.5032870693038372</v>
      </c>
      <c r="O1481" s="1468"/>
    </row>
    <row r="1482" spans="11:15">
      <c r="K1482" s="1465">
        <v>43539</v>
      </c>
      <c r="L1482" s="1466" t="s">
        <v>2125</v>
      </c>
      <c r="M1482" s="1467">
        <v>2.462E-2</v>
      </c>
      <c r="N1482" s="1468">
        <v>1.5036571785802999</v>
      </c>
      <c r="O1482" s="1468"/>
    </row>
    <row r="1483" spans="11:15">
      <c r="K1483" s="1465">
        <v>43540</v>
      </c>
      <c r="L1483" s="1466"/>
      <c r="M1483" s="1467">
        <v>0</v>
      </c>
      <c r="N1483" s="1468">
        <v>1.5036571785802999</v>
      </c>
      <c r="O1483" s="1468"/>
    </row>
    <row r="1484" spans="11:15">
      <c r="K1484" s="1465">
        <v>43541</v>
      </c>
      <c r="L1484" s="1466"/>
      <c r="M1484" s="1467">
        <v>0</v>
      </c>
      <c r="N1484" s="1468">
        <v>1.5036571785802999</v>
      </c>
      <c r="O1484" s="1468"/>
    </row>
    <row r="1485" spans="11:15">
      <c r="K1485" s="1465">
        <v>43542</v>
      </c>
      <c r="L1485" s="1466" t="s">
        <v>2125</v>
      </c>
      <c r="M1485" s="1467">
        <v>2.462E-2</v>
      </c>
      <c r="N1485" s="1468">
        <v>1.5040273789776666</v>
      </c>
      <c r="O1485" s="1468"/>
    </row>
    <row r="1486" spans="11:15">
      <c r="K1486" s="1465">
        <v>43543</v>
      </c>
      <c r="L1486" s="1466" t="s">
        <v>2125</v>
      </c>
      <c r="M1486" s="1467">
        <v>2.462E-2</v>
      </c>
      <c r="N1486" s="1468">
        <v>1.504397670518371</v>
      </c>
      <c r="O1486" s="1468"/>
    </row>
    <row r="1487" spans="11:15">
      <c r="K1487" s="1465">
        <v>43544</v>
      </c>
      <c r="L1487" s="1466" t="s">
        <v>2125</v>
      </c>
      <c r="M1487" s="1467">
        <v>2.462E-2</v>
      </c>
      <c r="N1487" s="1468">
        <v>1.5047680532248529</v>
      </c>
      <c r="O1487" s="1468"/>
    </row>
    <row r="1488" spans="11:15">
      <c r="K1488" s="1465">
        <v>43545</v>
      </c>
      <c r="L1488" s="1466" t="s">
        <v>2125</v>
      </c>
      <c r="M1488" s="1467">
        <v>2.462E-2</v>
      </c>
      <c r="N1488" s="1468">
        <v>1.505138527119557</v>
      </c>
      <c r="O1488" s="1468"/>
    </row>
    <row r="1489" spans="11:15">
      <c r="K1489" s="1465">
        <v>43546</v>
      </c>
      <c r="L1489" s="1466" t="s">
        <v>2125</v>
      </c>
      <c r="M1489" s="1467">
        <v>2.462E-2</v>
      </c>
      <c r="N1489" s="1468">
        <v>1.5055090922249339</v>
      </c>
      <c r="O1489" s="1468"/>
    </row>
    <row r="1490" spans="11:15">
      <c r="K1490" s="1465">
        <v>43547</v>
      </c>
      <c r="L1490" s="1466"/>
      <c r="M1490" s="1467">
        <v>0</v>
      </c>
      <c r="N1490" s="1468">
        <v>1.5055090922249339</v>
      </c>
      <c r="O1490" s="1468"/>
    </row>
    <row r="1491" spans="11:15">
      <c r="K1491" s="1465">
        <v>43548</v>
      </c>
      <c r="L1491" s="1466"/>
      <c r="M1491" s="1467">
        <v>0</v>
      </c>
      <c r="N1491" s="1468">
        <v>1.5055090922249339</v>
      </c>
      <c r="O1491" s="1468"/>
    </row>
    <row r="1492" spans="11:15">
      <c r="K1492" s="1465">
        <v>43549</v>
      </c>
      <c r="L1492" s="1466" t="s">
        <v>2125</v>
      </c>
      <c r="M1492" s="1467">
        <v>2.462E-2</v>
      </c>
      <c r="N1492" s="1468">
        <v>1.5058797485634399</v>
      </c>
      <c r="O1492" s="1468"/>
    </row>
    <row r="1493" spans="11:15">
      <c r="K1493" s="1465">
        <v>43550</v>
      </c>
      <c r="L1493" s="1466" t="s">
        <v>2125</v>
      </c>
      <c r="M1493" s="1467">
        <v>2.462E-2</v>
      </c>
      <c r="N1493" s="1468">
        <v>1.5062504961575363</v>
      </c>
      <c r="O1493" s="1468"/>
    </row>
    <row r="1494" spans="11:15">
      <c r="K1494" s="1465">
        <v>43551</v>
      </c>
      <c r="L1494" s="1466" t="s">
        <v>2125</v>
      </c>
      <c r="M1494" s="1467">
        <v>2.462E-2</v>
      </c>
      <c r="N1494" s="1468">
        <v>1.5066213350296904</v>
      </c>
      <c r="O1494" s="1468"/>
    </row>
    <row r="1495" spans="11:15">
      <c r="K1495" s="1465">
        <v>43552</v>
      </c>
      <c r="L1495" s="1466" t="s">
        <v>2125</v>
      </c>
      <c r="M1495" s="1467">
        <v>2.462E-2</v>
      </c>
      <c r="N1495" s="1468">
        <v>1.5069922652023748</v>
      </c>
      <c r="O1495" s="1468"/>
    </row>
    <row r="1496" spans="11:15">
      <c r="K1496" s="1465">
        <v>43553</v>
      </c>
      <c r="L1496" s="1466" t="s">
        <v>2125</v>
      </c>
      <c r="M1496" s="1467">
        <v>2.462E-2</v>
      </c>
      <c r="N1496" s="1468">
        <v>1.5073632866980677</v>
      </c>
      <c r="O1496" s="1468"/>
    </row>
    <row r="1497" spans="11:15">
      <c r="K1497" s="1465">
        <v>43554</v>
      </c>
      <c r="L1497" s="1466"/>
      <c r="M1497" s="1467">
        <v>0</v>
      </c>
      <c r="N1497" s="1468">
        <v>1.5073632866980677</v>
      </c>
      <c r="O1497" s="1468"/>
    </row>
    <row r="1498" spans="11:15">
      <c r="K1498" s="1465">
        <v>43555</v>
      </c>
      <c r="L1498" s="1466"/>
      <c r="M1498" s="1467">
        <v>0</v>
      </c>
      <c r="N1498" s="1468">
        <v>1.5073632866980677</v>
      </c>
      <c r="O1498" s="1468"/>
    </row>
    <row r="1499" spans="11:15">
      <c r="K1499" s="1465">
        <v>43556</v>
      </c>
      <c r="L1499" s="1466" t="s">
        <v>2125</v>
      </c>
      <c r="M1499" s="1467">
        <v>2.462E-2</v>
      </c>
      <c r="N1499" s="1468">
        <v>1.5077343995392529</v>
      </c>
      <c r="O1499" s="1468"/>
    </row>
    <row r="1500" spans="11:15">
      <c r="K1500" s="1465">
        <v>43557</v>
      </c>
      <c r="L1500" s="1466" t="s">
        <v>2125</v>
      </c>
      <c r="M1500" s="1467">
        <v>2.462E-2</v>
      </c>
      <c r="N1500" s="1468">
        <v>1.5081056037484195</v>
      </c>
      <c r="O1500" s="1468"/>
    </row>
    <row r="1501" spans="11:15">
      <c r="K1501" s="1465">
        <v>43558</v>
      </c>
      <c r="L1501" s="1466" t="s">
        <v>2125</v>
      </c>
      <c r="M1501" s="1467">
        <v>2.462E-2</v>
      </c>
      <c r="N1501" s="1468">
        <v>1.5084768993480624</v>
      </c>
      <c r="O1501" s="1468"/>
    </row>
    <row r="1502" spans="11:15">
      <c r="K1502" s="1465">
        <v>43559</v>
      </c>
      <c r="L1502" s="1466" t="s">
        <v>2125</v>
      </c>
      <c r="M1502" s="1467">
        <v>2.462E-2</v>
      </c>
      <c r="N1502" s="1468">
        <v>1.508848286360682</v>
      </c>
      <c r="O1502" s="1468"/>
    </row>
    <row r="1503" spans="11:15">
      <c r="K1503" s="1465">
        <v>43560</v>
      </c>
      <c r="L1503" s="1466" t="s">
        <v>2125</v>
      </c>
      <c r="M1503" s="1467">
        <v>2.462E-2</v>
      </c>
      <c r="N1503" s="1468">
        <v>1.5092197648087842</v>
      </c>
      <c r="O1503" s="1468"/>
    </row>
    <row r="1504" spans="11:15">
      <c r="K1504" s="1465">
        <v>43561</v>
      </c>
      <c r="L1504" s="1466"/>
      <c r="M1504" s="1467">
        <v>0</v>
      </c>
      <c r="N1504" s="1468">
        <v>1.5092197648087842</v>
      </c>
      <c r="O1504" s="1468"/>
    </row>
    <row r="1505" spans="11:15">
      <c r="K1505" s="1465">
        <v>43562</v>
      </c>
      <c r="L1505" s="1466"/>
      <c r="M1505" s="1467">
        <v>0</v>
      </c>
      <c r="N1505" s="1468">
        <v>1.5092197648087842</v>
      </c>
      <c r="O1505" s="1468"/>
    </row>
    <row r="1506" spans="11:15">
      <c r="K1506" s="1465">
        <v>43563</v>
      </c>
      <c r="L1506" s="1466" t="s">
        <v>2125</v>
      </c>
      <c r="M1506" s="1467">
        <v>2.462E-2</v>
      </c>
      <c r="N1506" s="1468">
        <v>1.5095913347148802</v>
      </c>
      <c r="O1506" s="1468"/>
    </row>
    <row r="1507" spans="11:15">
      <c r="K1507" s="1465">
        <v>43564</v>
      </c>
      <c r="L1507" s="1466" t="s">
        <v>2125</v>
      </c>
      <c r="M1507" s="1467">
        <v>2.462E-2</v>
      </c>
      <c r="N1507" s="1468">
        <v>1.5099629961014871</v>
      </c>
      <c r="O1507" s="1468"/>
    </row>
    <row r="1508" spans="11:15">
      <c r="K1508" s="1465">
        <v>43565</v>
      </c>
      <c r="L1508" s="1466" t="s">
        <v>2125</v>
      </c>
      <c r="M1508" s="1467">
        <v>2.462E-2</v>
      </c>
      <c r="N1508" s="1468">
        <v>1.5103347489911274</v>
      </c>
      <c r="O1508" s="1468"/>
    </row>
    <row r="1509" spans="11:15">
      <c r="K1509" s="1465">
        <v>43566</v>
      </c>
      <c r="L1509" s="1466" t="s">
        <v>2125</v>
      </c>
      <c r="M1509" s="1467">
        <v>2.462E-2</v>
      </c>
      <c r="N1509" s="1468">
        <v>1.5107065934063291</v>
      </c>
      <c r="O1509" s="1468"/>
    </row>
    <row r="1510" spans="11:15">
      <c r="K1510" s="1465">
        <v>43567</v>
      </c>
      <c r="L1510" s="1466" t="s">
        <v>2125</v>
      </c>
      <c r="M1510" s="1467">
        <v>2.462E-2</v>
      </c>
      <c r="N1510" s="1468">
        <v>1.5110785293696258</v>
      </c>
      <c r="O1510" s="1468"/>
    </row>
    <row r="1511" spans="11:15">
      <c r="K1511" s="1465">
        <v>43568</v>
      </c>
      <c r="L1511" s="1466"/>
      <c r="M1511" s="1467">
        <v>0</v>
      </c>
      <c r="N1511" s="1468">
        <v>1.5110785293696258</v>
      </c>
      <c r="O1511" s="1468"/>
    </row>
    <row r="1512" spans="11:15">
      <c r="K1512" s="1465">
        <v>43569</v>
      </c>
      <c r="L1512" s="1466"/>
      <c r="M1512" s="1467">
        <v>0</v>
      </c>
      <c r="N1512" s="1468">
        <v>1.5110785293696258</v>
      </c>
      <c r="O1512" s="1468"/>
    </row>
    <row r="1513" spans="11:15">
      <c r="K1513" s="1465">
        <v>43570</v>
      </c>
      <c r="L1513" s="1466" t="s">
        <v>2125</v>
      </c>
      <c r="M1513" s="1467">
        <v>2.462E-2</v>
      </c>
      <c r="N1513" s="1468">
        <v>1.5114505569035568</v>
      </c>
      <c r="O1513" s="1468"/>
    </row>
    <row r="1514" spans="11:15">
      <c r="K1514" s="1465">
        <v>43571</v>
      </c>
      <c r="L1514" s="1466" t="s">
        <v>2125</v>
      </c>
      <c r="M1514" s="1467">
        <v>2.462E-2</v>
      </c>
      <c r="N1514" s="1468">
        <v>1.5118226760306666</v>
      </c>
      <c r="O1514" s="1468"/>
    </row>
    <row r="1515" spans="11:15">
      <c r="K1515" s="1465">
        <v>43572</v>
      </c>
      <c r="L1515" s="1466" t="s">
        <v>2125</v>
      </c>
      <c r="M1515" s="1467">
        <v>2.462E-2</v>
      </c>
      <c r="N1515" s="1468">
        <v>1.5121948867735053</v>
      </c>
      <c r="O1515" s="1468"/>
    </row>
    <row r="1516" spans="11:15">
      <c r="K1516" s="1465">
        <v>43573</v>
      </c>
      <c r="L1516" s="1466" t="s">
        <v>2125</v>
      </c>
      <c r="M1516" s="1467">
        <v>2.462E-2</v>
      </c>
      <c r="N1516" s="1468">
        <v>1.5125671891546291</v>
      </c>
      <c r="O1516" s="1468"/>
    </row>
    <row r="1517" spans="11:15">
      <c r="K1517" s="1465">
        <v>43574</v>
      </c>
      <c r="L1517" s="1466"/>
      <c r="M1517" s="1467">
        <v>0</v>
      </c>
      <c r="N1517" s="1468">
        <v>1.5125671891546291</v>
      </c>
      <c r="O1517" s="1468"/>
    </row>
    <row r="1518" spans="11:15">
      <c r="K1518" s="1465">
        <v>43575</v>
      </c>
      <c r="L1518" s="1466"/>
      <c r="M1518" s="1467">
        <v>0</v>
      </c>
      <c r="N1518" s="1468">
        <v>1.5125671891546291</v>
      </c>
      <c r="O1518" s="1468"/>
    </row>
    <row r="1519" spans="11:15">
      <c r="K1519" s="1465">
        <v>43576</v>
      </c>
      <c r="L1519" s="1466"/>
      <c r="M1519" s="1467">
        <v>0</v>
      </c>
      <c r="N1519" s="1468">
        <v>1.5125671891546291</v>
      </c>
      <c r="O1519" s="1468"/>
    </row>
    <row r="1520" spans="11:15">
      <c r="K1520" s="1465">
        <v>43577</v>
      </c>
      <c r="L1520" s="1466" t="s">
        <v>2125</v>
      </c>
      <c r="M1520" s="1467">
        <v>2.462E-2</v>
      </c>
      <c r="N1520" s="1468">
        <v>1.512939583196599</v>
      </c>
      <c r="O1520" s="1468"/>
    </row>
    <row r="1521" spans="11:15">
      <c r="K1521" s="1465">
        <v>43578</v>
      </c>
      <c r="L1521" s="1466" t="s">
        <v>2125</v>
      </c>
      <c r="M1521" s="1467">
        <v>2.462E-2</v>
      </c>
      <c r="N1521" s="1468">
        <v>1.5133120689219821</v>
      </c>
      <c r="O1521" s="1468"/>
    </row>
    <row r="1522" spans="11:15">
      <c r="K1522" s="1465">
        <v>43579</v>
      </c>
      <c r="L1522" s="1466" t="s">
        <v>2125</v>
      </c>
      <c r="M1522" s="1467">
        <v>2.462E-2</v>
      </c>
      <c r="N1522" s="1468">
        <v>1.5136846463533509</v>
      </c>
      <c r="O1522" s="1468"/>
    </row>
    <row r="1523" spans="11:15">
      <c r="K1523" s="1465">
        <v>43580</v>
      </c>
      <c r="L1523" s="1466" t="s">
        <v>2125</v>
      </c>
      <c r="M1523" s="1467">
        <v>2.462E-2</v>
      </c>
      <c r="N1523" s="1468">
        <v>1.5140573155132833</v>
      </c>
      <c r="O1523" s="1468"/>
    </row>
    <row r="1524" spans="11:15">
      <c r="K1524" s="1465">
        <v>43581</v>
      </c>
      <c r="L1524" s="1466" t="s">
        <v>2125</v>
      </c>
      <c r="M1524" s="1467">
        <v>2.462E-2</v>
      </c>
      <c r="N1524" s="1468">
        <v>1.5144300764243628</v>
      </c>
      <c r="O1524" s="1468"/>
    </row>
    <row r="1525" spans="11:15">
      <c r="K1525" s="1465">
        <v>43582</v>
      </c>
      <c r="L1525" s="1466"/>
      <c r="M1525" s="1467">
        <v>0</v>
      </c>
      <c r="N1525" s="1468">
        <v>1.5144300764243628</v>
      </c>
      <c r="O1525" s="1468"/>
    </row>
    <row r="1526" spans="11:15">
      <c r="K1526" s="1465">
        <v>43583</v>
      </c>
      <c r="L1526" s="1466"/>
      <c r="M1526" s="1467">
        <v>0</v>
      </c>
      <c r="N1526" s="1468">
        <v>1.5144300764243628</v>
      </c>
      <c r="O1526" s="1468"/>
    </row>
    <row r="1527" spans="11:15">
      <c r="K1527" s="1465">
        <v>43584</v>
      </c>
      <c r="L1527" s="1466" t="s">
        <v>2125</v>
      </c>
      <c r="M1527" s="1467">
        <v>2.462E-2</v>
      </c>
      <c r="N1527" s="1468">
        <v>1.5148029291091787</v>
      </c>
      <c r="O1527" s="1468"/>
    </row>
    <row r="1528" spans="11:15">
      <c r="K1528" s="1465">
        <v>43585</v>
      </c>
      <c r="L1528" s="1466" t="s">
        <v>2125</v>
      </c>
      <c r="M1528" s="1467">
        <v>2.462E-2</v>
      </c>
      <c r="N1528" s="1468">
        <v>1.5151758735903256</v>
      </c>
      <c r="O1528" s="1468"/>
    </row>
    <row r="1529" spans="11:15">
      <c r="K1529" s="1465">
        <v>43586</v>
      </c>
      <c r="L1529" s="1466"/>
      <c r="M1529" s="1467">
        <v>0</v>
      </c>
      <c r="N1529" s="1468">
        <v>1.5151758735903256</v>
      </c>
      <c r="O1529" s="1468"/>
    </row>
    <row r="1530" spans="11:15">
      <c r="K1530" s="1465">
        <v>43587</v>
      </c>
      <c r="L1530" s="1466" t="s">
        <v>2125</v>
      </c>
      <c r="M1530" s="1467">
        <v>2.462E-2</v>
      </c>
      <c r="N1530" s="1468">
        <v>1.5155489098904036</v>
      </c>
      <c r="O1530" s="1468"/>
    </row>
    <row r="1531" spans="11:15">
      <c r="K1531" s="1465">
        <v>43588</v>
      </c>
      <c r="L1531" s="1466" t="s">
        <v>2125</v>
      </c>
      <c r="M1531" s="1467">
        <v>2.462E-2</v>
      </c>
      <c r="N1531" s="1468">
        <v>1.5159220380320186</v>
      </c>
      <c r="O1531" s="1468"/>
    </row>
    <row r="1532" spans="11:15">
      <c r="K1532" s="1465">
        <v>43589</v>
      </c>
      <c r="L1532" s="1466"/>
      <c r="M1532" s="1467">
        <v>0</v>
      </c>
      <c r="N1532" s="1468">
        <v>1.5159220380320186</v>
      </c>
      <c r="O1532" s="1468"/>
    </row>
    <row r="1533" spans="11:15">
      <c r="K1533" s="1465">
        <v>43590</v>
      </c>
      <c r="L1533" s="1466"/>
      <c r="M1533" s="1467">
        <v>0</v>
      </c>
      <c r="N1533" s="1468">
        <v>1.5159220380320186</v>
      </c>
      <c r="O1533" s="1468"/>
    </row>
    <row r="1534" spans="11:15">
      <c r="K1534" s="1465">
        <v>43591</v>
      </c>
      <c r="L1534" s="1466" t="s">
        <v>2125</v>
      </c>
      <c r="M1534" s="1467">
        <v>2.462E-2</v>
      </c>
      <c r="N1534" s="1468">
        <v>1.5162952580377822</v>
      </c>
      <c r="O1534" s="1468"/>
    </row>
    <row r="1535" spans="11:15">
      <c r="K1535" s="1465">
        <v>43592</v>
      </c>
      <c r="L1535" s="1466" t="s">
        <v>2125</v>
      </c>
      <c r="M1535" s="1467">
        <v>2.462E-2</v>
      </c>
      <c r="N1535" s="1468">
        <v>1.5166685699303113</v>
      </c>
      <c r="O1535" s="1468"/>
    </row>
    <row r="1536" spans="11:15">
      <c r="K1536" s="1465">
        <v>43593</v>
      </c>
      <c r="L1536" s="1466" t="s">
        <v>2125</v>
      </c>
      <c r="M1536" s="1467">
        <v>2.462E-2</v>
      </c>
      <c r="N1536" s="1468">
        <v>1.5170419737322283</v>
      </c>
      <c r="O1536" s="1468"/>
    </row>
    <row r="1537" spans="11:15">
      <c r="K1537" s="1465">
        <v>43594</v>
      </c>
      <c r="L1537" s="1466" t="s">
        <v>2125</v>
      </c>
      <c r="M1537" s="1467">
        <v>2.462E-2</v>
      </c>
      <c r="N1537" s="1468">
        <v>1.5174154694661612</v>
      </c>
      <c r="O1537" s="1468"/>
    </row>
    <row r="1538" spans="11:15">
      <c r="K1538" s="1465">
        <v>43595</v>
      </c>
      <c r="L1538" s="1466" t="s">
        <v>2125</v>
      </c>
      <c r="M1538" s="1467">
        <v>2.462E-2</v>
      </c>
      <c r="N1538" s="1468">
        <v>1.5177890571547439</v>
      </c>
      <c r="O1538" s="1468"/>
    </row>
    <row r="1539" spans="11:15">
      <c r="K1539" s="1465">
        <v>43596</v>
      </c>
      <c r="L1539" s="1466"/>
      <c r="M1539" s="1467">
        <v>0</v>
      </c>
      <c r="N1539" s="1468">
        <v>1.5177890571547439</v>
      </c>
      <c r="O1539" s="1468"/>
    </row>
    <row r="1540" spans="11:15">
      <c r="K1540" s="1465">
        <v>43597</v>
      </c>
      <c r="L1540" s="1466"/>
      <c r="M1540" s="1467">
        <v>0</v>
      </c>
      <c r="N1540" s="1468">
        <v>1.5177890571547439</v>
      </c>
      <c r="O1540" s="1468"/>
    </row>
    <row r="1541" spans="11:15">
      <c r="K1541" s="1465">
        <v>43598</v>
      </c>
      <c r="L1541" s="1466" t="s">
        <v>2125</v>
      </c>
      <c r="M1541" s="1467">
        <v>2.462E-2</v>
      </c>
      <c r="N1541" s="1468">
        <v>1.5181627368206154</v>
      </c>
      <c r="O1541" s="1468"/>
    </row>
    <row r="1542" spans="11:15">
      <c r="K1542" s="1465">
        <v>43599</v>
      </c>
      <c r="L1542" s="1466" t="s">
        <v>2125</v>
      </c>
      <c r="M1542" s="1467">
        <v>2.462E-2</v>
      </c>
      <c r="N1542" s="1468">
        <v>1.5185365084864209</v>
      </c>
      <c r="O1542" s="1468"/>
    </row>
    <row r="1543" spans="11:15">
      <c r="K1543" s="1465">
        <v>43600</v>
      </c>
      <c r="L1543" s="1466" t="s">
        <v>2125</v>
      </c>
      <c r="M1543" s="1467">
        <v>2.462E-2</v>
      </c>
      <c r="N1543" s="1468">
        <v>1.5189103721748103</v>
      </c>
      <c r="O1543" s="1468"/>
    </row>
    <row r="1544" spans="11:15">
      <c r="K1544" s="1465">
        <v>43601</v>
      </c>
      <c r="L1544" s="1466" t="s">
        <v>2125</v>
      </c>
      <c r="M1544" s="1467">
        <v>2.462E-2</v>
      </c>
      <c r="N1544" s="1468">
        <v>1.5192843279084398</v>
      </c>
      <c r="O1544" s="1468"/>
    </row>
    <row r="1545" spans="11:15">
      <c r="K1545" s="1465">
        <v>43602</v>
      </c>
      <c r="L1545" s="1466" t="s">
        <v>2125</v>
      </c>
      <c r="M1545" s="1467">
        <v>2.462E-2</v>
      </c>
      <c r="N1545" s="1468">
        <v>1.5196583757099711</v>
      </c>
      <c r="O1545" s="1468"/>
    </row>
    <row r="1546" spans="11:15">
      <c r="K1546" s="1465">
        <v>43603</v>
      </c>
      <c r="L1546" s="1466"/>
      <c r="M1546" s="1467">
        <v>0</v>
      </c>
      <c r="N1546" s="1468">
        <v>1.5196583757099711</v>
      </c>
      <c r="O1546" s="1468"/>
    </row>
    <row r="1547" spans="11:15">
      <c r="K1547" s="1465">
        <v>43604</v>
      </c>
      <c r="L1547" s="1466"/>
      <c r="M1547" s="1467">
        <v>0</v>
      </c>
      <c r="N1547" s="1468">
        <v>1.5196583757099711</v>
      </c>
      <c r="O1547" s="1468"/>
    </row>
    <row r="1548" spans="11:15">
      <c r="K1548" s="1465">
        <v>43605</v>
      </c>
      <c r="L1548" s="1466" t="s">
        <v>2125</v>
      </c>
      <c r="M1548" s="1467">
        <v>2.462E-2</v>
      </c>
      <c r="N1548" s="1468">
        <v>1.5200325156020711</v>
      </c>
      <c r="O1548" s="1468"/>
    </row>
    <row r="1549" spans="11:15">
      <c r="K1549" s="1465">
        <v>43606</v>
      </c>
      <c r="L1549" s="1466" t="s">
        <v>2125</v>
      </c>
      <c r="M1549" s="1467">
        <v>2.462E-2</v>
      </c>
      <c r="N1549" s="1468">
        <v>1.5204067476074123</v>
      </c>
      <c r="O1549" s="1468"/>
    </row>
    <row r="1550" spans="11:15">
      <c r="K1550" s="1465">
        <v>43607</v>
      </c>
      <c r="L1550" s="1466" t="s">
        <v>2125</v>
      </c>
      <c r="M1550" s="1467">
        <v>2.462E-2</v>
      </c>
      <c r="N1550" s="1468">
        <v>1.5207810717486734</v>
      </c>
      <c r="O1550" s="1468"/>
    </row>
    <row r="1551" spans="11:15">
      <c r="K1551" s="1465">
        <v>43608</v>
      </c>
      <c r="L1551" s="1466" t="s">
        <v>2125</v>
      </c>
      <c r="M1551" s="1467">
        <v>2.462E-2</v>
      </c>
      <c r="N1551" s="1468">
        <v>1.5211554880485381</v>
      </c>
      <c r="O1551" s="1468"/>
    </row>
    <row r="1552" spans="11:15">
      <c r="K1552" s="1465">
        <v>43609</v>
      </c>
      <c r="L1552" s="1466" t="s">
        <v>2125</v>
      </c>
      <c r="M1552" s="1467">
        <v>2.462E-2</v>
      </c>
      <c r="N1552" s="1468">
        <v>1.5215299965296958</v>
      </c>
      <c r="O1552" s="1468"/>
    </row>
    <row r="1553" spans="11:15">
      <c r="K1553" s="1465">
        <v>43610</v>
      </c>
      <c r="L1553" s="1466"/>
      <c r="M1553" s="1467">
        <v>0</v>
      </c>
      <c r="N1553" s="1468">
        <v>1.5215299965296958</v>
      </c>
      <c r="O1553" s="1468"/>
    </row>
    <row r="1554" spans="11:15">
      <c r="K1554" s="1465">
        <v>43611</v>
      </c>
      <c r="L1554" s="1466"/>
      <c r="M1554" s="1467">
        <v>0</v>
      </c>
      <c r="N1554" s="1468">
        <v>1.5215299965296958</v>
      </c>
      <c r="O1554" s="1468"/>
    </row>
    <row r="1555" spans="11:15">
      <c r="K1555" s="1465">
        <v>43612</v>
      </c>
      <c r="L1555" s="1466" t="s">
        <v>2125</v>
      </c>
      <c r="M1555" s="1467">
        <v>2.462E-2</v>
      </c>
      <c r="N1555" s="1468">
        <v>1.5219045972148415</v>
      </c>
      <c r="O1555" s="1468"/>
    </row>
    <row r="1556" spans="11:15">
      <c r="K1556" s="1465">
        <v>43613</v>
      </c>
      <c r="L1556" s="1466" t="s">
        <v>2125</v>
      </c>
      <c r="M1556" s="1467">
        <v>2.462E-2</v>
      </c>
      <c r="N1556" s="1468">
        <v>1.522279290126676</v>
      </c>
      <c r="O1556" s="1468"/>
    </row>
    <row r="1557" spans="11:15">
      <c r="K1557" s="1465">
        <v>43614</v>
      </c>
      <c r="L1557" s="1466" t="s">
        <v>2125</v>
      </c>
      <c r="M1557" s="1467">
        <v>2.462E-2</v>
      </c>
      <c r="N1557" s="1468">
        <v>1.5226540752879052</v>
      </c>
      <c r="O1557" s="1468"/>
    </row>
    <row r="1558" spans="11:15">
      <c r="K1558" s="1465">
        <v>43615</v>
      </c>
      <c r="L1558" s="1466" t="s">
        <v>2125</v>
      </c>
      <c r="M1558" s="1467">
        <v>2.462E-2</v>
      </c>
      <c r="N1558" s="1468">
        <v>1.5230289527212413</v>
      </c>
      <c r="O1558" s="1468"/>
    </row>
    <row r="1559" spans="11:15">
      <c r="K1559" s="1465">
        <v>43616</v>
      </c>
      <c r="L1559" s="1466" t="s">
        <v>2125</v>
      </c>
      <c r="M1559" s="1467">
        <v>2.462E-2</v>
      </c>
      <c r="N1559" s="1468">
        <v>1.5234039224494014</v>
      </c>
      <c r="O1559" s="1468"/>
    </row>
    <row r="1560" spans="11:15">
      <c r="K1560" s="1465">
        <v>43617</v>
      </c>
      <c r="L1560" s="1466"/>
      <c r="M1560" s="1467">
        <v>0</v>
      </c>
      <c r="N1560" s="1468">
        <v>1.5234039224494014</v>
      </c>
      <c r="O1560" s="1468"/>
    </row>
    <row r="1561" spans="11:15">
      <c r="K1561" s="1465">
        <v>43618</v>
      </c>
      <c r="L1561" s="1466"/>
      <c r="M1561" s="1467">
        <v>0</v>
      </c>
      <c r="N1561" s="1468">
        <v>1.5234039224494014</v>
      </c>
      <c r="O1561" s="1468"/>
    </row>
    <row r="1562" spans="11:15">
      <c r="K1562" s="1465">
        <v>43619</v>
      </c>
      <c r="L1562" s="1466" t="s">
        <v>2125</v>
      </c>
      <c r="M1562" s="1467">
        <v>2.462E-2</v>
      </c>
      <c r="N1562" s="1468">
        <v>1.5237789844951086</v>
      </c>
      <c r="O1562" s="1468"/>
    </row>
    <row r="1563" spans="11:15">
      <c r="K1563" s="1465">
        <v>43620</v>
      </c>
      <c r="L1563" s="1466" t="s">
        <v>2125</v>
      </c>
      <c r="M1563" s="1467">
        <v>2.462E-2</v>
      </c>
      <c r="N1563" s="1468">
        <v>1.5241541388810915</v>
      </c>
      <c r="O1563" s="1468"/>
    </row>
    <row r="1564" spans="11:15">
      <c r="K1564" s="1465">
        <v>43621</v>
      </c>
      <c r="L1564" s="1466" t="s">
        <v>2125</v>
      </c>
      <c r="M1564" s="1467">
        <v>2.462E-2</v>
      </c>
      <c r="N1564" s="1468">
        <v>1.5245293856300841</v>
      </c>
      <c r="O1564" s="1468"/>
    </row>
    <row r="1565" spans="11:15">
      <c r="K1565" s="1465">
        <v>43622</v>
      </c>
      <c r="L1565" s="1466" t="s">
        <v>2125</v>
      </c>
      <c r="M1565" s="1467">
        <v>2.462E-2</v>
      </c>
      <c r="N1565" s="1468">
        <v>1.5249047247648264</v>
      </c>
      <c r="O1565" s="1468"/>
    </row>
    <row r="1566" spans="11:15">
      <c r="K1566" s="1465">
        <v>43623</v>
      </c>
      <c r="L1566" s="1466" t="s">
        <v>2125</v>
      </c>
      <c r="M1566" s="1467">
        <v>2.462E-2</v>
      </c>
      <c r="N1566" s="1468">
        <v>1.5252801563080636</v>
      </c>
      <c r="O1566" s="1468"/>
    </row>
    <row r="1567" spans="11:15">
      <c r="K1567" s="1465">
        <v>43624</v>
      </c>
      <c r="L1567" s="1466"/>
      <c r="M1567" s="1467">
        <v>0</v>
      </c>
      <c r="N1567" s="1468">
        <v>1.5252801563080636</v>
      </c>
      <c r="O1567" s="1468"/>
    </row>
    <row r="1568" spans="11:15">
      <c r="K1568" s="1465">
        <v>43625</v>
      </c>
      <c r="L1568" s="1466"/>
      <c r="M1568" s="1467">
        <v>0</v>
      </c>
      <c r="N1568" s="1468">
        <v>1.5252801563080636</v>
      </c>
      <c r="O1568" s="1468"/>
    </row>
    <row r="1569" spans="11:15">
      <c r="K1569" s="1465">
        <v>43626</v>
      </c>
      <c r="L1569" s="1466" t="s">
        <v>2125</v>
      </c>
      <c r="M1569" s="1467">
        <v>2.462E-2</v>
      </c>
      <c r="N1569" s="1468">
        <v>1.5256556802825467</v>
      </c>
      <c r="O1569" s="1468"/>
    </row>
    <row r="1570" spans="11:15">
      <c r="K1570" s="1465">
        <v>43627</v>
      </c>
      <c r="L1570" s="1466" t="s">
        <v>2125</v>
      </c>
      <c r="M1570" s="1467">
        <v>2.462E-2</v>
      </c>
      <c r="N1570" s="1468">
        <v>1.5260312967110323</v>
      </c>
      <c r="O1570" s="1468"/>
    </row>
    <row r="1571" spans="11:15">
      <c r="K1571" s="1465">
        <v>43628</v>
      </c>
      <c r="L1571" s="1466" t="s">
        <v>2125</v>
      </c>
      <c r="M1571" s="1467">
        <v>2.462E-2</v>
      </c>
      <c r="N1571" s="1468">
        <v>1.5264070056162826</v>
      </c>
      <c r="O1571" s="1468"/>
    </row>
    <row r="1572" spans="11:15">
      <c r="K1572" s="1465">
        <v>43629</v>
      </c>
      <c r="L1572" s="1466" t="s">
        <v>2125</v>
      </c>
      <c r="M1572" s="1467">
        <v>2.462E-2</v>
      </c>
      <c r="N1572" s="1468">
        <v>1.5267828070210654</v>
      </c>
      <c r="O1572" s="1468"/>
    </row>
    <row r="1573" spans="11:15">
      <c r="K1573" s="1465">
        <v>43630</v>
      </c>
      <c r="L1573" s="1466" t="s">
        <v>2125</v>
      </c>
      <c r="M1573" s="1467">
        <v>2.462E-2</v>
      </c>
      <c r="N1573" s="1468">
        <v>1.5271587009481542</v>
      </c>
      <c r="O1573" s="1468"/>
    </row>
    <row r="1574" spans="11:15">
      <c r="K1574" s="1465">
        <v>43631</v>
      </c>
      <c r="L1574" s="1466"/>
      <c r="M1574" s="1467">
        <v>0</v>
      </c>
      <c r="N1574" s="1468">
        <v>1.5271587009481542</v>
      </c>
      <c r="O1574" s="1468"/>
    </row>
    <row r="1575" spans="11:15">
      <c r="K1575" s="1465">
        <v>43632</v>
      </c>
      <c r="L1575" s="1466"/>
      <c r="M1575" s="1467">
        <v>0</v>
      </c>
      <c r="N1575" s="1468">
        <v>1.5271587009481542</v>
      </c>
      <c r="O1575" s="1468"/>
    </row>
    <row r="1576" spans="11:15">
      <c r="K1576" s="1465">
        <v>43633</v>
      </c>
      <c r="L1576" s="1466" t="s">
        <v>2125</v>
      </c>
      <c r="M1576" s="1467">
        <v>2.462E-2</v>
      </c>
      <c r="N1576" s="1468">
        <v>1.5275346874203277</v>
      </c>
      <c r="O1576" s="1468"/>
    </row>
    <row r="1577" spans="11:15">
      <c r="K1577" s="1465">
        <v>43634</v>
      </c>
      <c r="L1577" s="1466" t="s">
        <v>2125</v>
      </c>
      <c r="M1577" s="1467">
        <v>2.462E-2</v>
      </c>
      <c r="N1577" s="1468">
        <v>1.5279107664603708</v>
      </c>
      <c r="O1577" s="1468"/>
    </row>
    <row r="1578" spans="11:15">
      <c r="K1578" s="1465">
        <v>43635</v>
      </c>
      <c r="L1578" s="1466" t="s">
        <v>2125</v>
      </c>
      <c r="M1578" s="1467">
        <v>2.462E-2</v>
      </c>
      <c r="N1578" s="1468">
        <v>1.5282869380910735</v>
      </c>
      <c r="O1578" s="1468"/>
    </row>
    <row r="1579" spans="11:15">
      <c r="K1579" s="1465">
        <v>43636</v>
      </c>
      <c r="L1579" s="1466"/>
      <c r="M1579" s="1467">
        <v>0</v>
      </c>
      <c r="N1579" s="1468">
        <v>1.5282869380910735</v>
      </c>
      <c r="O1579" s="1468"/>
    </row>
    <row r="1580" spans="11:15">
      <c r="K1580" s="1465">
        <v>43637</v>
      </c>
      <c r="L1580" s="1466" t="s">
        <v>2125</v>
      </c>
      <c r="M1580" s="1467">
        <v>2.462E-2</v>
      </c>
      <c r="N1580" s="1468">
        <v>1.5286632023352316</v>
      </c>
      <c r="O1580" s="1468"/>
    </row>
    <row r="1581" spans="11:15">
      <c r="K1581" s="1465">
        <v>43638</v>
      </c>
      <c r="L1581" s="1466"/>
      <c r="M1581" s="1467">
        <v>0</v>
      </c>
      <c r="N1581" s="1468">
        <v>1.5286632023352316</v>
      </c>
      <c r="O1581" s="1468"/>
    </row>
    <row r="1582" spans="11:15">
      <c r="K1582" s="1465">
        <v>43639</v>
      </c>
      <c r="L1582" s="1466"/>
      <c r="M1582" s="1467">
        <v>0</v>
      </c>
      <c r="N1582" s="1468">
        <v>1.5286632023352316</v>
      </c>
      <c r="O1582" s="1468"/>
    </row>
    <row r="1583" spans="11:15">
      <c r="K1583" s="1465">
        <v>43640</v>
      </c>
      <c r="L1583" s="1466" t="s">
        <v>2125</v>
      </c>
      <c r="M1583" s="1467">
        <v>2.462E-2</v>
      </c>
      <c r="N1583" s="1468">
        <v>1.5290395592156467</v>
      </c>
      <c r="O1583" s="1468"/>
    </row>
    <row r="1584" spans="11:15">
      <c r="K1584" s="1465">
        <v>43641</v>
      </c>
      <c r="L1584" s="1466" t="s">
        <v>2125</v>
      </c>
      <c r="M1584" s="1467">
        <v>2.462E-2</v>
      </c>
      <c r="N1584" s="1468">
        <v>1.5294160087551258</v>
      </c>
      <c r="O1584" s="1468"/>
    </row>
    <row r="1585" spans="11:15">
      <c r="K1585" s="1465">
        <v>43642</v>
      </c>
      <c r="L1585" s="1466" t="s">
        <v>2125</v>
      </c>
      <c r="M1585" s="1467">
        <v>2.462E-2</v>
      </c>
      <c r="N1585" s="1468">
        <v>1.5297925509764816</v>
      </c>
      <c r="O1585" s="1468"/>
    </row>
    <row r="1586" spans="11:15">
      <c r="K1586" s="1465">
        <v>43643</v>
      </c>
      <c r="L1586" s="1466" t="s">
        <v>2125</v>
      </c>
      <c r="M1586" s="1467">
        <v>2.462E-2</v>
      </c>
      <c r="N1586" s="1468">
        <v>1.5301691859025321</v>
      </c>
      <c r="O1586" s="1468"/>
    </row>
    <row r="1587" spans="11:15">
      <c r="K1587" s="1465">
        <v>43644</v>
      </c>
      <c r="L1587" s="1466" t="s">
        <v>2125</v>
      </c>
      <c r="M1587" s="1467">
        <v>2.462E-2</v>
      </c>
      <c r="N1587" s="1468">
        <v>1.5305459135561015</v>
      </c>
      <c r="O1587" s="1468"/>
    </row>
    <row r="1588" spans="11:15">
      <c r="K1588" s="1465">
        <v>43645</v>
      </c>
      <c r="L1588" s="1466"/>
      <c r="M1588" s="1467">
        <v>0</v>
      </c>
      <c r="N1588" s="1468">
        <v>1.5305459135561015</v>
      </c>
      <c r="O1588" s="1468"/>
    </row>
    <row r="1589" spans="11:15">
      <c r="K1589" s="1465">
        <v>43646</v>
      </c>
      <c r="L1589" s="1466"/>
      <c r="M1589" s="1467">
        <v>0</v>
      </c>
      <c r="N1589" s="1468">
        <v>1.5305459135561015</v>
      </c>
      <c r="O1589" s="1468"/>
    </row>
    <row r="1590" spans="11:15">
      <c r="K1590" s="1465">
        <v>43647</v>
      </c>
      <c r="L1590" s="1466" t="s">
        <v>2125</v>
      </c>
      <c r="M1590" s="1467">
        <v>2.462E-2</v>
      </c>
      <c r="N1590" s="1468">
        <v>1.5309227339600191</v>
      </c>
      <c r="O1590" s="1468"/>
    </row>
    <row r="1591" spans="11:15">
      <c r="K1591" s="1465">
        <v>43648</v>
      </c>
      <c r="L1591" s="1466" t="s">
        <v>2125</v>
      </c>
      <c r="M1591" s="1467">
        <v>2.462E-2</v>
      </c>
      <c r="N1591" s="1468">
        <v>1.5312996471371201</v>
      </c>
      <c r="O1591" s="1468"/>
    </row>
    <row r="1592" spans="11:15">
      <c r="K1592" s="1465">
        <v>43649</v>
      </c>
      <c r="L1592" s="1466" t="s">
        <v>2125</v>
      </c>
      <c r="M1592" s="1467">
        <v>2.462E-2</v>
      </c>
      <c r="N1592" s="1468">
        <v>1.5316766531102455</v>
      </c>
      <c r="O1592" s="1468"/>
    </row>
    <row r="1593" spans="11:15">
      <c r="K1593" s="1465">
        <v>43650</v>
      </c>
      <c r="L1593" s="1466" t="s">
        <v>2125</v>
      </c>
      <c r="M1593" s="1467">
        <v>2.462E-2</v>
      </c>
      <c r="N1593" s="1468">
        <v>1.5320537519022412</v>
      </c>
      <c r="O1593" s="1468"/>
    </row>
    <row r="1594" spans="11:15">
      <c r="K1594" s="1465">
        <v>43651</v>
      </c>
      <c r="L1594" s="1466" t="s">
        <v>2125</v>
      </c>
      <c r="M1594" s="1467">
        <v>2.462E-2</v>
      </c>
      <c r="N1594" s="1468">
        <v>1.5324309435359598</v>
      </c>
      <c r="O1594" s="1468"/>
    </row>
    <row r="1595" spans="11:15">
      <c r="K1595" s="1465">
        <v>43652</v>
      </c>
      <c r="L1595" s="1466"/>
      <c r="M1595" s="1467">
        <v>0</v>
      </c>
      <c r="N1595" s="1468">
        <v>1.5324309435359598</v>
      </c>
      <c r="O1595" s="1468"/>
    </row>
    <row r="1596" spans="11:15">
      <c r="K1596" s="1465">
        <v>43653</v>
      </c>
      <c r="L1596" s="1466"/>
      <c r="M1596" s="1467">
        <v>0</v>
      </c>
      <c r="N1596" s="1468">
        <v>1.5324309435359598</v>
      </c>
      <c r="O1596" s="1468"/>
    </row>
    <row r="1597" spans="11:15">
      <c r="K1597" s="1465">
        <v>43654</v>
      </c>
      <c r="L1597" s="1466" t="s">
        <v>2125</v>
      </c>
      <c r="M1597" s="1467">
        <v>2.462E-2</v>
      </c>
      <c r="N1597" s="1468">
        <v>1.5328082280342585</v>
      </c>
      <c r="O1597" s="1468"/>
    </row>
    <row r="1598" spans="11:15">
      <c r="K1598" s="1465">
        <v>43655</v>
      </c>
      <c r="L1598" s="1466" t="s">
        <v>2125</v>
      </c>
      <c r="M1598" s="1467">
        <v>2.462E-2</v>
      </c>
      <c r="N1598" s="1468">
        <v>1.5331856054200006</v>
      </c>
      <c r="O1598" s="1468"/>
    </row>
    <row r="1599" spans="11:15">
      <c r="K1599" s="1465">
        <v>43656</v>
      </c>
      <c r="L1599" s="1466" t="s">
        <v>2125</v>
      </c>
      <c r="M1599" s="1467">
        <v>2.462E-2</v>
      </c>
      <c r="N1599" s="1468">
        <v>1.5335630757160552</v>
      </c>
      <c r="O1599" s="1468"/>
    </row>
    <row r="1600" spans="11:15">
      <c r="K1600" s="1465">
        <v>43657</v>
      </c>
      <c r="L1600" s="1466" t="s">
        <v>2125</v>
      </c>
      <c r="M1600" s="1467">
        <v>2.462E-2</v>
      </c>
      <c r="N1600" s="1468">
        <v>1.5339406389452965</v>
      </c>
      <c r="O1600" s="1468"/>
    </row>
    <row r="1601" spans="11:15">
      <c r="K1601" s="1465">
        <v>43658</v>
      </c>
      <c r="L1601" s="1466" t="s">
        <v>2125</v>
      </c>
      <c r="M1601" s="1467">
        <v>2.462E-2</v>
      </c>
      <c r="N1601" s="1468">
        <v>1.5343182951306049</v>
      </c>
      <c r="O1601" s="1468"/>
    </row>
    <row r="1602" spans="11:15">
      <c r="K1602" s="1465">
        <v>43659</v>
      </c>
      <c r="L1602" s="1466"/>
      <c r="M1602" s="1467">
        <v>0</v>
      </c>
      <c r="N1602" s="1468">
        <v>1.5343182951306049</v>
      </c>
      <c r="O1602" s="1468"/>
    </row>
    <row r="1603" spans="11:15">
      <c r="K1603" s="1465">
        <v>43660</v>
      </c>
      <c r="L1603" s="1466"/>
      <c r="M1603" s="1467">
        <v>0</v>
      </c>
      <c r="N1603" s="1468">
        <v>1.5343182951306049</v>
      </c>
      <c r="O1603" s="1468"/>
    </row>
    <row r="1604" spans="11:15">
      <c r="K1604" s="1465">
        <v>43661</v>
      </c>
      <c r="L1604" s="1466" t="s">
        <v>2125</v>
      </c>
      <c r="M1604" s="1467">
        <v>2.462E-2</v>
      </c>
      <c r="N1604" s="1468">
        <v>1.5346960442948663</v>
      </c>
      <c r="O1604" s="1468"/>
    </row>
    <row r="1605" spans="11:15">
      <c r="K1605" s="1465">
        <v>43662</v>
      </c>
      <c r="L1605" s="1466" t="s">
        <v>2125</v>
      </c>
      <c r="M1605" s="1467">
        <v>2.462E-2</v>
      </c>
      <c r="N1605" s="1468">
        <v>1.5350738864609719</v>
      </c>
      <c r="O1605" s="1468"/>
    </row>
    <row r="1606" spans="11:15">
      <c r="K1606" s="1465">
        <v>43663</v>
      </c>
      <c r="L1606" s="1466" t="s">
        <v>2125</v>
      </c>
      <c r="M1606" s="1467">
        <v>2.462E-2</v>
      </c>
      <c r="N1606" s="1468">
        <v>1.5354518216518187</v>
      </c>
      <c r="O1606" s="1468"/>
    </row>
    <row r="1607" spans="11:15">
      <c r="K1607" s="1465">
        <v>43664</v>
      </c>
      <c r="L1607" s="1466" t="s">
        <v>2125</v>
      </c>
      <c r="M1607" s="1467">
        <v>2.462E-2</v>
      </c>
      <c r="N1607" s="1468">
        <v>1.5358298498903096</v>
      </c>
      <c r="O1607" s="1468"/>
    </row>
    <row r="1608" spans="11:15">
      <c r="K1608" s="1465">
        <v>43665</v>
      </c>
      <c r="L1608" s="1466" t="s">
        <v>2125</v>
      </c>
      <c r="M1608" s="1467">
        <v>2.462E-2</v>
      </c>
      <c r="N1608" s="1468">
        <v>1.5362079711993526</v>
      </c>
      <c r="O1608" s="1468"/>
    </row>
    <row r="1609" spans="11:15">
      <c r="K1609" s="1465">
        <v>43666</v>
      </c>
      <c r="L1609" s="1466"/>
      <c r="M1609" s="1467">
        <v>0</v>
      </c>
      <c r="N1609" s="1468">
        <v>1.5362079711993526</v>
      </c>
      <c r="O1609" s="1468"/>
    </row>
    <row r="1610" spans="11:15">
      <c r="K1610" s="1465">
        <v>43667</v>
      </c>
      <c r="L1610" s="1466"/>
      <c r="M1610" s="1467">
        <v>0</v>
      </c>
      <c r="N1610" s="1468">
        <v>1.5362079711993526</v>
      </c>
      <c r="O1610" s="1468"/>
    </row>
    <row r="1611" spans="11:15">
      <c r="K1611" s="1465">
        <v>43668</v>
      </c>
      <c r="L1611" s="1466" t="s">
        <v>2125</v>
      </c>
      <c r="M1611" s="1467">
        <v>2.462E-2</v>
      </c>
      <c r="N1611" s="1468">
        <v>1.5365861856018621</v>
      </c>
      <c r="O1611" s="1468"/>
    </row>
    <row r="1612" spans="11:15">
      <c r="K1612" s="1465">
        <v>43669</v>
      </c>
      <c r="L1612" s="1466" t="s">
        <v>2125</v>
      </c>
      <c r="M1612" s="1467">
        <v>2.462E-2</v>
      </c>
      <c r="N1612" s="1468">
        <v>1.5369644931207573</v>
      </c>
      <c r="O1612" s="1468"/>
    </row>
    <row r="1613" spans="11:15">
      <c r="K1613" s="1465">
        <v>43670</v>
      </c>
      <c r="L1613" s="1466" t="s">
        <v>2125</v>
      </c>
      <c r="M1613" s="1467">
        <v>2.462E-2</v>
      </c>
      <c r="N1613" s="1468">
        <v>1.5373428937789637</v>
      </c>
      <c r="O1613" s="1468"/>
    </row>
    <row r="1614" spans="11:15">
      <c r="K1614" s="1465">
        <v>43671</v>
      </c>
      <c r="L1614" s="1466" t="s">
        <v>2125</v>
      </c>
      <c r="M1614" s="1467">
        <v>2.462E-2</v>
      </c>
      <c r="N1614" s="1468">
        <v>1.5377213875994122</v>
      </c>
      <c r="O1614" s="1468"/>
    </row>
    <row r="1615" spans="11:15">
      <c r="K1615" s="1465">
        <v>43672</v>
      </c>
      <c r="L1615" s="1466" t="s">
        <v>2125</v>
      </c>
      <c r="M1615" s="1467">
        <v>2.462E-2</v>
      </c>
      <c r="N1615" s="1468">
        <v>1.5380999746050394</v>
      </c>
      <c r="O1615" s="1468"/>
    </row>
    <row r="1616" spans="11:15">
      <c r="K1616" s="1465">
        <v>43673</v>
      </c>
      <c r="L1616" s="1466"/>
      <c r="M1616" s="1467">
        <v>0</v>
      </c>
      <c r="N1616" s="1468">
        <v>1.5380999746050394</v>
      </c>
      <c r="O1616" s="1468"/>
    </row>
    <row r="1617" spans="11:15">
      <c r="K1617" s="1465">
        <v>43674</v>
      </c>
      <c r="L1617" s="1466"/>
      <c r="M1617" s="1467">
        <v>0</v>
      </c>
      <c r="N1617" s="1468">
        <v>1.5380999746050394</v>
      </c>
      <c r="O1617" s="1468"/>
    </row>
    <row r="1618" spans="11:15">
      <c r="K1618" s="1465">
        <v>43675</v>
      </c>
      <c r="L1618" s="1466" t="s">
        <v>2125</v>
      </c>
      <c r="M1618" s="1467">
        <v>2.462E-2</v>
      </c>
      <c r="N1618" s="1468">
        <v>1.5384786548187874</v>
      </c>
      <c r="O1618" s="1468"/>
    </row>
    <row r="1619" spans="11:15">
      <c r="K1619" s="1465">
        <v>43676</v>
      </c>
      <c r="L1619" s="1466" t="s">
        <v>2125</v>
      </c>
      <c r="M1619" s="1467">
        <v>2.462E-2</v>
      </c>
      <c r="N1619" s="1468">
        <v>1.5388574282636041</v>
      </c>
      <c r="O1619" s="1468"/>
    </row>
    <row r="1620" spans="11:15">
      <c r="K1620" s="1465">
        <v>43677</v>
      </c>
      <c r="L1620" s="1466" t="s">
        <v>2125</v>
      </c>
      <c r="M1620" s="1467">
        <v>2.462E-2</v>
      </c>
      <c r="N1620" s="1468">
        <v>1.5392362949624427</v>
      </c>
      <c r="O1620" s="1468"/>
    </row>
    <row r="1621" spans="11:15">
      <c r="K1621" s="1465">
        <v>43678</v>
      </c>
      <c r="L1621" s="1466" t="s">
        <v>2125</v>
      </c>
      <c r="M1621" s="1467">
        <v>2.2751E-2</v>
      </c>
      <c r="N1621" s="1468">
        <v>1.5395864866119096</v>
      </c>
      <c r="O1621" s="1468"/>
    </row>
    <row r="1622" spans="11:15">
      <c r="K1622" s="1465">
        <v>43679</v>
      </c>
      <c r="L1622" s="1466" t="s">
        <v>2125</v>
      </c>
      <c r="M1622" s="1467">
        <v>2.2751E-2</v>
      </c>
      <c r="N1622" s="1468">
        <v>1.5399367579334786</v>
      </c>
      <c r="O1622" s="1468"/>
    </row>
    <row r="1623" spans="11:15">
      <c r="K1623" s="1465">
        <v>43680</v>
      </c>
      <c r="L1623" s="1466"/>
      <c r="M1623" s="1467">
        <v>0</v>
      </c>
      <c r="N1623" s="1468">
        <v>1.5399367579334786</v>
      </c>
      <c r="O1623" s="1468"/>
    </row>
    <row r="1624" spans="11:15">
      <c r="K1624" s="1465">
        <v>43681</v>
      </c>
      <c r="L1624" s="1466"/>
      <c r="M1624" s="1467">
        <v>0</v>
      </c>
      <c r="N1624" s="1468">
        <v>1.5399367579334786</v>
      </c>
      <c r="O1624" s="1468"/>
    </row>
    <row r="1625" spans="11:15">
      <c r="K1625" s="1465">
        <v>43682</v>
      </c>
      <c r="L1625" s="1466" t="s">
        <v>2125</v>
      </c>
      <c r="M1625" s="1467">
        <v>2.2751E-2</v>
      </c>
      <c r="N1625" s="1468">
        <v>1.5402871089452761</v>
      </c>
      <c r="O1625" s="1468"/>
    </row>
    <row r="1626" spans="11:15">
      <c r="K1626" s="1465">
        <v>43683</v>
      </c>
      <c r="L1626" s="1466" t="s">
        <v>2125</v>
      </c>
      <c r="M1626" s="1467">
        <v>2.2751E-2</v>
      </c>
      <c r="N1626" s="1468">
        <v>1.5406375396654322</v>
      </c>
      <c r="O1626" s="1468"/>
    </row>
    <row r="1627" spans="11:15">
      <c r="K1627" s="1465">
        <v>43684</v>
      </c>
      <c r="L1627" s="1466" t="s">
        <v>2125</v>
      </c>
      <c r="M1627" s="1467">
        <v>2.2751E-2</v>
      </c>
      <c r="N1627" s="1468">
        <v>1.5409880501120814</v>
      </c>
      <c r="O1627" s="1468"/>
    </row>
    <row r="1628" spans="11:15">
      <c r="K1628" s="1465">
        <v>43685</v>
      </c>
      <c r="L1628" s="1466" t="s">
        <v>2125</v>
      </c>
      <c r="M1628" s="1467">
        <v>2.2751E-2</v>
      </c>
      <c r="N1628" s="1468">
        <v>1.5413386403033624</v>
      </c>
      <c r="O1628" s="1468"/>
    </row>
    <row r="1629" spans="11:15">
      <c r="K1629" s="1465">
        <v>43686</v>
      </c>
      <c r="L1629" s="1466" t="s">
        <v>2125</v>
      </c>
      <c r="M1629" s="1467">
        <v>2.2751E-2</v>
      </c>
      <c r="N1629" s="1468">
        <v>1.5416893102574178</v>
      </c>
      <c r="O1629" s="1468"/>
    </row>
    <row r="1630" spans="11:15">
      <c r="K1630" s="1465">
        <v>43687</v>
      </c>
      <c r="L1630" s="1466"/>
      <c r="M1630" s="1467">
        <v>0</v>
      </c>
      <c r="N1630" s="1468">
        <v>1.5416893102574178</v>
      </c>
      <c r="O1630" s="1468"/>
    </row>
    <row r="1631" spans="11:15">
      <c r="K1631" s="1465">
        <v>43688</v>
      </c>
      <c r="L1631" s="1466"/>
      <c r="M1631" s="1467">
        <v>0</v>
      </c>
      <c r="N1631" s="1468">
        <v>1.5416893102574178</v>
      </c>
      <c r="O1631" s="1468"/>
    </row>
    <row r="1632" spans="11:15">
      <c r="K1632" s="1465">
        <v>43689</v>
      </c>
      <c r="L1632" s="1466" t="s">
        <v>2125</v>
      </c>
      <c r="M1632" s="1467">
        <v>2.2751E-2</v>
      </c>
      <c r="N1632" s="1468">
        <v>1.5420400599923945</v>
      </c>
      <c r="O1632" s="1468"/>
    </row>
    <row r="1633" spans="11:15">
      <c r="K1633" s="1465">
        <v>43690</v>
      </c>
      <c r="L1633" s="1466" t="s">
        <v>2125</v>
      </c>
      <c r="M1633" s="1467">
        <v>2.2751E-2</v>
      </c>
      <c r="N1633" s="1468">
        <v>1.5423908895264433</v>
      </c>
      <c r="O1633" s="1468"/>
    </row>
    <row r="1634" spans="11:15">
      <c r="K1634" s="1465">
        <v>43691</v>
      </c>
      <c r="L1634" s="1466" t="s">
        <v>2125</v>
      </c>
      <c r="M1634" s="1467">
        <v>2.2751E-2</v>
      </c>
      <c r="N1634" s="1468">
        <v>1.5427417988777195</v>
      </c>
      <c r="O1634" s="1468"/>
    </row>
    <row r="1635" spans="11:15">
      <c r="K1635" s="1465">
        <v>43692</v>
      </c>
      <c r="L1635" s="1466" t="s">
        <v>2125</v>
      </c>
      <c r="M1635" s="1467">
        <v>2.2751E-2</v>
      </c>
      <c r="N1635" s="1468">
        <v>1.5430927880643821</v>
      </c>
      <c r="O1635" s="1468"/>
    </row>
    <row r="1636" spans="11:15">
      <c r="K1636" s="1465">
        <v>43693</v>
      </c>
      <c r="L1636" s="1466" t="s">
        <v>2125</v>
      </c>
      <c r="M1636" s="1467">
        <v>2.2751E-2</v>
      </c>
      <c r="N1636" s="1468">
        <v>1.5434438571045945</v>
      </c>
      <c r="O1636" s="1468"/>
    </row>
    <row r="1637" spans="11:15">
      <c r="K1637" s="1465">
        <v>43694</v>
      </c>
      <c r="L1637" s="1466"/>
      <c r="M1637" s="1467">
        <v>0</v>
      </c>
      <c r="N1637" s="1468">
        <v>1.5434438571045945</v>
      </c>
      <c r="O1637" s="1468"/>
    </row>
    <row r="1638" spans="11:15">
      <c r="K1638" s="1465">
        <v>43695</v>
      </c>
      <c r="L1638" s="1466"/>
      <c r="M1638" s="1467">
        <v>0</v>
      </c>
      <c r="N1638" s="1468">
        <v>1.5434438571045945</v>
      </c>
      <c r="O1638" s="1468"/>
    </row>
    <row r="1639" spans="11:15">
      <c r="K1639" s="1465">
        <v>43696</v>
      </c>
      <c r="L1639" s="1466" t="s">
        <v>2125</v>
      </c>
      <c r="M1639" s="1467">
        <v>2.2751E-2</v>
      </c>
      <c r="N1639" s="1468">
        <v>1.5437950060165244</v>
      </c>
      <c r="O1639" s="1468"/>
    </row>
    <row r="1640" spans="11:15">
      <c r="K1640" s="1465">
        <v>43697</v>
      </c>
      <c r="L1640" s="1466" t="s">
        <v>2125</v>
      </c>
      <c r="M1640" s="1467">
        <v>2.2751E-2</v>
      </c>
      <c r="N1640" s="1468">
        <v>1.5441462348183432</v>
      </c>
      <c r="O1640" s="1468"/>
    </row>
    <row r="1641" spans="11:15">
      <c r="K1641" s="1465">
        <v>43698</v>
      </c>
      <c r="L1641" s="1466" t="s">
        <v>2125</v>
      </c>
      <c r="M1641" s="1467">
        <v>2.2751E-2</v>
      </c>
      <c r="N1641" s="1468">
        <v>1.5444975435282267</v>
      </c>
      <c r="O1641" s="1468"/>
    </row>
    <row r="1642" spans="11:15">
      <c r="K1642" s="1465">
        <v>43699</v>
      </c>
      <c r="L1642" s="1466" t="s">
        <v>2125</v>
      </c>
      <c r="M1642" s="1467">
        <v>2.2751E-2</v>
      </c>
      <c r="N1642" s="1468">
        <v>1.5448489321643548</v>
      </c>
      <c r="O1642" s="1468"/>
    </row>
    <row r="1643" spans="11:15">
      <c r="K1643" s="1465">
        <v>43700</v>
      </c>
      <c r="L1643" s="1466" t="s">
        <v>2125</v>
      </c>
      <c r="M1643" s="1467">
        <v>2.2751E-2</v>
      </c>
      <c r="N1643" s="1468">
        <v>1.5452004007449116</v>
      </c>
      <c r="O1643" s="1468"/>
    </row>
    <row r="1644" spans="11:15">
      <c r="K1644" s="1465">
        <v>43701</v>
      </c>
      <c r="L1644" s="1466"/>
      <c r="M1644" s="1467">
        <v>0</v>
      </c>
      <c r="N1644" s="1468">
        <v>1.5452004007449116</v>
      </c>
      <c r="O1644" s="1468"/>
    </row>
    <row r="1645" spans="11:15">
      <c r="K1645" s="1465">
        <v>43702</v>
      </c>
      <c r="L1645" s="1466"/>
      <c r="M1645" s="1467">
        <v>0</v>
      </c>
      <c r="N1645" s="1468">
        <v>1.5452004007449116</v>
      </c>
      <c r="O1645" s="1468"/>
    </row>
    <row r="1646" spans="11:15">
      <c r="K1646" s="1465">
        <v>43703</v>
      </c>
      <c r="L1646" s="1466" t="s">
        <v>2125</v>
      </c>
      <c r="M1646" s="1467">
        <v>2.2751E-2</v>
      </c>
      <c r="N1646" s="1468">
        <v>1.5455519492880851</v>
      </c>
      <c r="O1646" s="1468"/>
    </row>
    <row r="1647" spans="11:15">
      <c r="K1647" s="1465">
        <v>43704</v>
      </c>
      <c r="L1647" s="1466" t="s">
        <v>2125</v>
      </c>
      <c r="M1647" s="1467">
        <v>2.2751E-2</v>
      </c>
      <c r="N1647" s="1468">
        <v>1.5459035778120676</v>
      </c>
      <c r="O1647" s="1468"/>
    </row>
    <row r="1648" spans="11:15">
      <c r="K1648" s="1465">
        <v>43705</v>
      </c>
      <c r="L1648" s="1466" t="s">
        <v>2125</v>
      </c>
      <c r="M1648" s="1467">
        <v>2.2751E-2</v>
      </c>
      <c r="N1648" s="1468">
        <v>1.5462552863350556</v>
      </c>
      <c r="O1648" s="1468"/>
    </row>
    <row r="1649" spans="11:15">
      <c r="K1649" s="1465">
        <v>43706</v>
      </c>
      <c r="L1649" s="1466" t="s">
        <v>2125</v>
      </c>
      <c r="M1649" s="1467">
        <v>2.2751E-2</v>
      </c>
      <c r="N1649" s="1468">
        <v>1.5466070748752496</v>
      </c>
      <c r="O1649" s="1468"/>
    </row>
    <row r="1650" spans="11:15">
      <c r="K1650" s="1465">
        <v>43707</v>
      </c>
      <c r="L1650" s="1466" t="s">
        <v>2125</v>
      </c>
      <c r="M1650" s="1467">
        <v>2.2751E-2</v>
      </c>
      <c r="N1650" s="1468">
        <v>1.5469589434508544</v>
      </c>
      <c r="O1650" s="1468"/>
    </row>
    <row r="1651" spans="11:15">
      <c r="K1651" s="1465">
        <v>43708</v>
      </c>
      <c r="L1651" s="1466"/>
      <c r="M1651" s="1467">
        <v>0</v>
      </c>
      <c r="N1651" s="1468">
        <v>1.5469589434508544</v>
      </c>
      <c r="O1651" s="1468"/>
    </row>
    <row r="1652" spans="11:15">
      <c r="K1652" s="1465">
        <v>43709</v>
      </c>
      <c r="L1652" s="1466"/>
      <c r="M1652" s="1467">
        <v>0</v>
      </c>
      <c r="N1652" s="1468">
        <v>1.5469589434508544</v>
      </c>
      <c r="O1652" s="1468"/>
    </row>
    <row r="1653" spans="11:15">
      <c r="K1653" s="1465">
        <v>43710</v>
      </c>
      <c r="L1653" s="1466" t="s">
        <v>2125</v>
      </c>
      <c r="M1653" s="1467">
        <v>2.2751E-2</v>
      </c>
      <c r="N1653" s="1468">
        <v>1.5473108920800789</v>
      </c>
      <c r="O1653" s="1468"/>
    </row>
    <row r="1654" spans="11:15">
      <c r="K1654" s="1465">
        <v>43711</v>
      </c>
      <c r="L1654" s="1466" t="s">
        <v>2125</v>
      </c>
      <c r="M1654" s="1467">
        <v>2.2751E-2</v>
      </c>
      <c r="N1654" s="1468">
        <v>1.5476629207811361</v>
      </c>
      <c r="O1654" s="1468"/>
    </row>
    <row r="1655" spans="11:15">
      <c r="K1655" s="1465">
        <v>43712</v>
      </c>
      <c r="L1655" s="1466" t="s">
        <v>2125</v>
      </c>
      <c r="M1655" s="1467">
        <v>2.2751E-2</v>
      </c>
      <c r="N1655" s="1468">
        <v>1.548015029572243</v>
      </c>
      <c r="O1655" s="1468"/>
    </row>
    <row r="1656" spans="11:15">
      <c r="K1656" s="1465">
        <v>43713</v>
      </c>
      <c r="L1656" s="1466" t="s">
        <v>2125</v>
      </c>
      <c r="M1656" s="1467">
        <v>2.2751E-2</v>
      </c>
      <c r="N1656" s="1468">
        <v>1.5483672184716211</v>
      </c>
      <c r="O1656" s="1468"/>
    </row>
    <row r="1657" spans="11:15">
      <c r="K1657" s="1465">
        <v>43714</v>
      </c>
      <c r="L1657" s="1466" t="s">
        <v>2125</v>
      </c>
      <c r="M1657" s="1467">
        <v>2.2751E-2</v>
      </c>
      <c r="N1657" s="1468">
        <v>1.5487194874974954</v>
      </c>
      <c r="O1657" s="1468"/>
    </row>
    <row r="1658" spans="11:15">
      <c r="K1658" s="1465">
        <v>43715</v>
      </c>
      <c r="L1658" s="1466"/>
      <c r="M1658" s="1467">
        <v>0</v>
      </c>
      <c r="N1658" s="1468">
        <v>1.5487194874974954</v>
      </c>
      <c r="O1658" s="1468"/>
    </row>
    <row r="1659" spans="11:15">
      <c r="K1659" s="1465">
        <v>43716</v>
      </c>
      <c r="L1659" s="1466"/>
      <c r="M1659" s="1467">
        <v>0</v>
      </c>
      <c r="N1659" s="1468">
        <v>1.5487194874974954</v>
      </c>
      <c r="O1659" s="1468"/>
    </row>
    <row r="1660" spans="11:15">
      <c r="K1660" s="1465">
        <v>43717</v>
      </c>
      <c r="L1660" s="1466" t="s">
        <v>2125</v>
      </c>
      <c r="M1660" s="1467">
        <v>2.2751E-2</v>
      </c>
      <c r="N1660" s="1468">
        <v>1.549071836668096</v>
      </c>
      <c r="O1660" s="1468"/>
    </row>
    <row r="1661" spans="11:15">
      <c r="K1661" s="1465">
        <v>43718</v>
      </c>
      <c r="L1661" s="1466" t="s">
        <v>2125</v>
      </c>
      <c r="M1661" s="1467">
        <v>2.2751E-2</v>
      </c>
      <c r="N1661" s="1468">
        <v>1.5494242660016564</v>
      </c>
      <c r="O1661" s="1468"/>
    </row>
    <row r="1662" spans="11:15">
      <c r="K1662" s="1465">
        <v>43719</v>
      </c>
      <c r="L1662" s="1466" t="s">
        <v>2125</v>
      </c>
      <c r="M1662" s="1467">
        <v>2.2751E-2</v>
      </c>
      <c r="N1662" s="1468">
        <v>1.5497767755164145</v>
      </c>
      <c r="O1662" s="1468"/>
    </row>
    <row r="1663" spans="11:15">
      <c r="K1663" s="1465">
        <v>43720</v>
      </c>
      <c r="L1663" s="1466" t="s">
        <v>2125</v>
      </c>
      <c r="M1663" s="1467">
        <v>2.2751E-2</v>
      </c>
      <c r="N1663" s="1468">
        <v>1.5501293652306123</v>
      </c>
      <c r="O1663" s="1468"/>
    </row>
    <row r="1664" spans="11:15">
      <c r="K1664" s="1465">
        <v>43721</v>
      </c>
      <c r="L1664" s="1466" t="s">
        <v>2125</v>
      </c>
      <c r="M1664" s="1467">
        <v>2.2751E-2</v>
      </c>
      <c r="N1664" s="1468">
        <v>1.5504820351624959</v>
      </c>
      <c r="O1664" s="1468"/>
    </row>
    <row r="1665" spans="11:15">
      <c r="K1665" s="1465">
        <v>43722</v>
      </c>
      <c r="L1665" s="1466"/>
      <c r="M1665" s="1467">
        <v>0</v>
      </c>
      <c r="N1665" s="1468">
        <v>1.5504820351624959</v>
      </c>
      <c r="O1665" s="1468"/>
    </row>
    <row r="1666" spans="11:15">
      <c r="K1666" s="1465">
        <v>43723</v>
      </c>
      <c r="L1666" s="1466"/>
      <c r="M1666" s="1467">
        <v>0</v>
      </c>
      <c r="N1666" s="1468">
        <v>1.5504820351624959</v>
      </c>
      <c r="O1666" s="1468"/>
    </row>
    <row r="1667" spans="11:15">
      <c r="K1667" s="1465">
        <v>43724</v>
      </c>
      <c r="L1667" s="1466" t="s">
        <v>2125</v>
      </c>
      <c r="M1667" s="1467">
        <v>2.2751E-2</v>
      </c>
      <c r="N1667" s="1468">
        <v>1.5508347853303157</v>
      </c>
      <c r="O1667" s="1468"/>
    </row>
    <row r="1668" spans="11:15">
      <c r="K1668" s="1465">
        <v>43725</v>
      </c>
      <c r="L1668" s="1466" t="s">
        <v>2125</v>
      </c>
      <c r="M1668" s="1467">
        <v>2.2751E-2</v>
      </c>
      <c r="N1668" s="1468">
        <v>1.5511876157523261</v>
      </c>
      <c r="O1668" s="1468"/>
    </row>
    <row r="1669" spans="11:15">
      <c r="K1669" s="1465">
        <v>43726</v>
      </c>
      <c r="L1669" s="1466" t="s">
        <v>2125</v>
      </c>
      <c r="M1669" s="1467">
        <v>2.2751E-2</v>
      </c>
      <c r="N1669" s="1468">
        <v>1.5515405264467859</v>
      </c>
      <c r="O1669" s="1468"/>
    </row>
    <row r="1670" spans="11:15">
      <c r="K1670" s="1465">
        <v>43727</v>
      </c>
      <c r="L1670" s="1466" t="s">
        <v>2125</v>
      </c>
      <c r="M1670" s="1467">
        <v>2.0872000000000002E-2</v>
      </c>
      <c r="N1670" s="1468">
        <v>1.5518643639854659</v>
      </c>
      <c r="O1670" s="1468"/>
    </row>
    <row r="1671" spans="11:15">
      <c r="K1671" s="1465">
        <v>43728</v>
      </c>
      <c r="L1671" s="1466" t="s">
        <v>2125</v>
      </c>
      <c r="M1671" s="1467">
        <v>2.0872000000000002E-2</v>
      </c>
      <c r="N1671" s="1468">
        <v>1.5521882691155171</v>
      </c>
      <c r="O1671" s="1468"/>
    </row>
    <row r="1672" spans="11:15">
      <c r="K1672" s="1465">
        <v>43729</v>
      </c>
      <c r="L1672" s="1466"/>
      <c r="M1672" s="1467">
        <v>0</v>
      </c>
      <c r="N1672" s="1468">
        <v>1.5521882691155171</v>
      </c>
      <c r="O1672" s="1468"/>
    </row>
    <row r="1673" spans="11:15">
      <c r="K1673" s="1465">
        <v>43730</v>
      </c>
      <c r="L1673" s="1466"/>
      <c r="M1673" s="1467">
        <v>0</v>
      </c>
      <c r="N1673" s="1468">
        <v>1.5521882691155171</v>
      </c>
      <c r="O1673" s="1468"/>
    </row>
    <row r="1674" spans="11:15">
      <c r="K1674" s="1465">
        <v>43731</v>
      </c>
      <c r="L1674" s="1466" t="s">
        <v>2125</v>
      </c>
      <c r="M1674" s="1467">
        <v>2.0872000000000002E-2</v>
      </c>
      <c r="N1674" s="1468">
        <v>1.5525122418510471</v>
      </c>
      <c r="O1674" s="1468"/>
    </row>
    <row r="1675" spans="11:15">
      <c r="K1675" s="1465">
        <v>43732</v>
      </c>
      <c r="L1675" s="1466" t="s">
        <v>2125</v>
      </c>
      <c r="M1675" s="1467">
        <v>2.0872000000000002E-2</v>
      </c>
      <c r="N1675" s="1468">
        <v>1.5528362822061663</v>
      </c>
      <c r="O1675" s="1468"/>
    </row>
    <row r="1676" spans="11:15">
      <c r="K1676" s="1465">
        <v>43733</v>
      </c>
      <c r="L1676" s="1466" t="s">
        <v>2125</v>
      </c>
      <c r="M1676" s="1467">
        <v>2.0872000000000002E-2</v>
      </c>
      <c r="N1676" s="1468">
        <v>1.5531603901949884</v>
      </c>
      <c r="O1676" s="1468"/>
    </row>
    <row r="1677" spans="11:15">
      <c r="K1677" s="1465">
        <v>43734</v>
      </c>
      <c r="L1677" s="1466" t="s">
        <v>2125</v>
      </c>
      <c r="M1677" s="1467">
        <v>2.0872000000000002E-2</v>
      </c>
      <c r="N1677" s="1468">
        <v>1.5534845658316301</v>
      </c>
      <c r="O1677" s="1468"/>
    </row>
    <row r="1678" spans="11:15">
      <c r="K1678" s="1465">
        <v>43735</v>
      </c>
      <c r="L1678" s="1466" t="s">
        <v>2125</v>
      </c>
      <c r="M1678" s="1467">
        <v>2.0872000000000002E-2</v>
      </c>
      <c r="N1678" s="1468">
        <v>1.5538088091302105</v>
      </c>
      <c r="O1678" s="1468"/>
    </row>
    <row r="1679" spans="11:15">
      <c r="K1679" s="1465">
        <v>43736</v>
      </c>
      <c r="L1679" s="1466"/>
      <c r="M1679" s="1467">
        <v>0</v>
      </c>
      <c r="N1679" s="1468">
        <v>1.5538088091302105</v>
      </c>
      <c r="O1679" s="1468"/>
    </row>
    <row r="1680" spans="11:15">
      <c r="K1680" s="1465">
        <v>43737</v>
      </c>
      <c r="L1680" s="1466"/>
      <c r="M1680" s="1467">
        <v>0</v>
      </c>
      <c r="N1680" s="1468">
        <v>1.5538088091302105</v>
      </c>
      <c r="O1680" s="1468"/>
    </row>
    <row r="1681" spans="11:15">
      <c r="K1681" s="1465">
        <v>43738</v>
      </c>
      <c r="L1681" s="1466" t="s">
        <v>2125</v>
      </c>
      <c r="M1681" s="1467">
        <v>2.0872000000000002E-2</v>
      </c>
      <c r="N1681" s="1468">
        <v>1.5541331201048523</v>
      </c>
      <c r="O1681" s="1468"/>
    </row>
    <row r="1682" spans="11:15">
      <c r="K1682" s="1465">
        <v>43739</v>
      </c>
      <c r="L1682" s="1466" t="s">
        <v>2125</v>
      </c>
      <c r="M1682" s="1467">
        <v>2.0872000000000002E-2</v>
      </c>
      <c r="N1682" s="1468">
        <v>1.5544574987696806</v>
      </c>
      <c r="O1682" s="1468"/>
    </row>
    <row r="1683" spans="11:15">
      <c r="K1683" s="1465">
        <v>43740</v>
      </c>
      <c r="L1683" s="1466" t="s">
        <v>2125</v>
      </c>
      <c r="M1683" s="1467">
        <v>2.0872000000000002E-2</v>
      </c>
      <c r="N1683" s="1468">
        <v>1.5547819451388238</v>
      </c>
      <c r="O1683" s="1468"/>
    </row>
    <row r="1684" spans="11:15">
      <c r="K1684" s="1465">
        <v>43741</v>
      </c>
      <c r="L1684" s="1466" t="s">
        <v>2125</v>
      </c>
      <c r="M1684" s="1467">
        <v>2.0872000000000002E-2</v>
      </c>
      <c r="N1684" s="1468">
        <v>1.5551064592264132</v>
      </c>
      <c r="O1684" s="1468"/>
    </row>
    <row r="1685" spans="11:15">
      <c r="K1685" s="1465">
        <v>43742</v>
      </c>
      <c r="L1685" s="1466" t="s">
        <v>2125</v>
      </c>
      <c r="M1685" s="1467">
        <v>2.0872000000000002E-2</v>
      </c>
      <c r="N1685" s="1468">
        <v>1.555431041046583</v>
      </c>
      <c r="O1685" s="1468"/>
    </row>
    <row r="1686" spans="11:15">
      <c r="K1686" s="1465">
        <v>43743</v>
      </c>
      <c r="L1686" s="1466"/>
      <c r="M1686" s="1467">
        <v>0</v>
      </c>
      <c r="N1686" s="1468">
        <v>1.555431041046583</v>
      </c>
      <c r="O1686" s="1468"/>
    </row>
    <row r="1687" spans="11:15">
      <c r="K1687" s="1465">
        <v>43744</v>
      </c>
      <c r="L1687" s="1466"/>
      <c r="M1687" s="1467">
        <v>0</v>
      </c>
      <c r="N1687" s="1468">
        <v>1.555431041046583</v>
      </c>
      <c r="O1687" s="1468"/>
    </row>
    <row r="1688" spans="11:15">
      <c r="K1688" s="1465">
        <v>43745</v>
      </c>
      <c r="L1688" s="1466" t="s">
        <v>2125</v>
      </c>
      <c r="M1688" s="1467">
        <v>2.0872000000000002E-2</v>
      </c>
      <c r="N1688" s="1468">
        <v>1.5557556906134704</v>
      </c>
      <c r="O1688" s="1468"/>
    </row>
    <row r="1689" spans="11:15">
      <c r="K1689" s="1465">
        <v>43746</v>
      </c>
      <c r="L1689" s="1466" t="s">
        <v>2125</v>
      </c>
      <c r="M1689" s="1467">
        <v>2.0872000000000002E-2</v>
      </c>
      <c r="N1689" s="1468">
        <v>1.5560804079412154</v>
      </c>
      <c r="O1689" s="1468"/>
    </row>
    <row r="1690" spans="11:15">
      <c r="K1690" s="1465">
        <v>43747</v>
      </c>
      <c r="L1690" s="1466" t="s">
        <v>2125</v>
      </c>
      <c r="M1690" s="1467">
        <v>2.0872000000000002E-2</v>
      </c>
      <c r="N1690" s="1468">
        <v>1.5564051930439609</v>
      </c>
      <c r="O1690" s="1468"/>
    </row>
    <row r="1691" spans="11:15">
      <c r="K1691" s="1465">
        <v>43748</v>
      </c>
      <c r="L1691" s="1466" t="s">
        <v>2125</v>
      </c>
      <c r="M1691" s="1467">
        <v>2.0872000000000002E-2</v>
      </c>
      <c r="N1691" s="1468">
        <v>1.5567300459358531</v>
      </c>
      <c r="O1691" s="1468"/>
    </row>
    <row r="1692" spans="11:15">
      <c r="K1692" s="1465">
        <v>43749</v>
      </c>
      <c r="L1692" s="1466" t="s">
        <v>2125</v>
      </c>
      <c r="M1692" s="1467">
        <v>2.0872000000000002E-2</v>
      </c>
      <c r="N1692" s="1468">
        <v>1.5570549666310409</v>
      </c>
      <c r="O1692" s="1468"/>
    </row>
    <row r="1693" spans="11:15">
      <c r="K1693" s="1465">
        <v>43750</v>
      </c>
      <c r="L1693" s="1466"/>
      <c r="M1693" s="1467">
        <v>0</v>
      </c>
      <c r="N1693" s="1468">
        <v>1.5570549666310409</v>
      </c>
      <c r="O1693" s="1468"/>
    </row>
    <row r="1694" spans="11:15">
      <c r="K1694" s="1465">
        <v>43751</v>
      </c>
      <c r="L1694" s="1466"/>
      <c r="M1694" s="1467">
        <v>0</v>
      </c>
      <c r="N1694" s="1468">
        <v>1.5570549666310409</v>
      </c>
      <c r="O1694" s="1468"/>
    </row>
    <row r="1695" spans="11:15">
      <c r="K1695" s="1465">
        <v>43752</v>
      </c>
      <c r="L1695" s="1466" t="s">
        <v>2125</v>
      </c>
      <c r="M1695" s="1467">
        <v>2.0872000000000002E-2</v>
      </c>
      <c r="N1695" s="1468">
        <v>1.5573799551436762</v>
      </c>
      <c r="O1695" s="1468"/>
    </row>
    <row r="1696" spans="11:15">
      <c r="K1696" s="1465">
        <v>43753</v>
      </c>
      <c r="L1696" s="1466" t="s">
        <v>2125</v>
      </c>
      <c r="M1696" s="1467">
        <v>2.0872000000000002E-2</v>
      </c>
      <c r="N1696" s="1468">
        <v>1.5577050114879138</v>
      </c>
      <c r="O1696" s="1468"/>
    </row>
    <row r="1697" spans="11:15">
      <c r="K1697" s="1465">
        <v>43754</v>
      </c>
      <c r="L1697" s="1466" t="s">
        <v>2125</v>
      </c>
      <c r="M1697" s="1467">
        <v>2.0872000000000002E-2</v>
      </c>
      <c r="N1697" s="1468">
        <v>1.5580301356779116</v>
      </c>
      <c r="O1697" s="1468"/>
    </row>
    <row r="1698" spans="11:15">
      <c r="K1698" s="1465">
        <v>43755</v>
      </c>
      <c r="L1698" s="1466" t="s">
        <v>2125</v>
      </c>
      <c r="M1698" s="1467">
        <v>2.0872000000000002E-2</v>
      </c>
      <c r="N1698" s="1468">
        <v>1.5583553277278304</v>
      </c>
      <c r="O1698" s="1468"/>
    </row>
    <row r="1699" spans="11:15">
      <c r="K1699" s="1465">
        <v>43756</v>
      </c>
      <c r="L1699" s="1466" t="s">
        <v>2125</v>
      </c>
      <c r="M1699" s="1467">
        <v>2.0872000000000002E-2</v>
      </c>
      <c r="N1699" s="1468">
        <v>1.5586805876518337</v>
      </c>
      <c r="O1699" s="1468"/>
    </row>
    <row r="1700" spans="11:15">
      <c r="K1700" s="1465">
        <v>43757</v>
      </c>
      <c r="L1700" s="1466"/>
      <c r="M1700" s="1467">
        <v>0</v>
      </c>
      <c r="N1700" s="1468">
        <v>1.5586805876518337</v>
      </c>
      <c r="O1700" s="1468"/>
    </row>
    <row r="1701" spans="11:15">
      <c r="K1701" s="1465">
        <v>43758</v>
      </c>
      <c r="L1701" s="1466"/>
      <c r="M1701" s="1467">
        <v>0</v>
      </c>
      <c r="N1701" s="1468">
        <v>1.5586805876518337</v>
      </c>
      <c r="O1701" s="1468"/>
    </row>
    <row r="1702" spans="11:15">
      <c r="K1702" s="1465">
        <v>43759</v>
      </c>
      <c r="L1702" s="1466" t="s">
        <v>2125</v>
      </c>
      <c r="M1702" s="1467">
        <v>2.0872000000000002E-2</v>
      </c>
      <c r="N1702" s="1468">
        <v>1.5590059154640885</v>
      </c>
      <c r="O1702" s="1468"/>
    </row>
    <row r="1703" spans="11:15">
      <c r="K1703" s="1465">
        <v>43760</v>
      </c>
      <c r="L1703" s="1466" t="s">
        <v>2125</v>
      </c>
      <c r="M1703" s="1467">
        <v>2.0872000000000002E-2</v>
      </c>
      <c r="N1703" s="1468">
        <v>1.5593313111787643</v>
      </c>
      <c r="O1703" s="1468"/>
    </row>
    <row r="1704" spans="11:15">
      <c r="K1704" s="1465">
        <v>43761</v>
      </c>
      <c r="L1704" s="1466" t="s">
        <v>2125</v>
      </c>
      <c r="M1704" s="1467">
        <v>2.0872000000000002E-2</v>
      </c>
      <c r="N1704" s="1468">
        <v>1.5596567748100336</v>
      </c>
      <c r="O1704" s="1468"/>
    </row>
    <row r="1705" spans="11:15">
      <c r="K1705" s="1465">
        <v>43762</v>
      </c>
      <c r="L1705" s="1466" t="s">
        <v>2125</v>
      </c>
      <c r="M1705" s="1467">
        <v>2.0872000000000002E-2</v>
      </c>
      <c r="N1705" s="1468">
        <v>1.5599823063720721</v>
      </c>
      <c r="O1705" s="1468"/>
    </row>
    <row r="1706" spans="11:15">
      <c r="K1706" s="1465">
        <v>43763</v>
      </c>
      <c r="L1706" s="1466" t="s">
        <v>2125</v>
      </c>
      <c r="M1706" s="1467">
        <v>2.0872000000000002E-2</v>
      </c>
      <c r="N1706" s="1468">
        <v>1.5603079058790581</v>
      </c>
      <c r="O1706" s="1468"/>
    </row>
    <row r="1707" spans="11:15">
      <c r="K1707" s="1465">
        <v>43764</v>
      </c>
      <c r="L1707" s="1466"/>
      <c r="M1707" s="1467">
        <v>0</v>
      </c>
      <c r="N1707" s="1468">
        <v>1.5603079058790581</v>
      </c>
      <c r="O1707" s="1468"/>
    </row>
    <row r="1708" spans="11:15">
      <c r="K1708" s="1465">
        <v>43765</v>
      </c>
      <c r="L1708" s="1466"/>
      <c r="M1708" s="1467">
        <v>0</v>
      </c>
      <c r="N1708" s="1468">
        <v>1.5603079058790581</v>
      </c>
      <c r="O1708" s="1468"/>
    </row>
    <row r="1709" spans="11:15">
      <c r="K1709" s="1465">
        <v>43766</v>
      </c>
      <c r="L1709" s="1466" t="s">
        <v>2125</v>
      </c>
      <c r="M1709" s="1467">
        <v>2.0872000000000002E-2</v>
      </c>
      <c r="N1709" s="1468">
        <v>1.5606335733451733</v>
      </c>
      <c r="O1709" s="1468"/>
    </row>
    <row r="1710" spans="11:15">
      <c r="K1710" s="1465">
        <v>43767</v>
      </c>
      <c r="L1710" s="1466" t="s">
        <v>2125</v>
      </c>
      <c r="M1710" s="1467">
        <v>2.0872000000000002E-2</v>
      </c>
      <c r="N1710" s="1468">
        <v>1.5609593087846019</v>
      </c>
      <c r="O1710" s="1468"/>
    </row>
    <row r="1711" spans="11:15">
      <c r="K1711" s="1465">
        <v>43768</v>
      </c>
      <c r="L1711" s="1466" t="s">
        <v>2125</v>
      </c>
      <c r="M1711" s="1467">
        <v>2.0872000000000002E-2</v>
      </c>
      <c r="N1711" s="1468">
        <v>1.5612851122115314</v>
      </c>
      <c r="O1711" s="1468"/>
    </row>
    <row r="1712" spans="11:15">
      <c r="K1712" s="1465">
        <v>43769</v>
      </c>
      <c r="L1712" s="1466" t="s">
        <v>2125</v>
      </c>
      <c r="M1712" s="1467">
        <v>1.8984999999999998E-2</v>
      </c>
      <c r="N1712" s="1468">
        <v>1.5615815221900846</v>
      </c>
      <c r="O1712" s="1468"/>
    </row>
    <row r="1713" spans="11:15">
      <c r="K1713" s="1465">
        <v>43770</v>
      </c>
      <c r="L1713" s="1466" t="s">
        <v>2125</v>
      </c>
      <c r="M1713" s="1467">
        <v>1.8984999999999998E-2</v>
      </c>
      <c r="N1713" s="1468">
        <v>1.5618779884420724</v>
      </c>
      <c r="O1713" s="1468"/>
    </row>
    <row r="1714" spans="11:15">
      <c r="K1714" s="1465">
        <v>43771</v>
      </c>
      <c r="L1714" s="1466"/>
      <c r="M1714" s="1467">
        <v>0</v>
      </c>
      <c r="N1714" s="1468">
        <v>1.5618779884420724</v>
      </c>
      <c r="O1714" s="1468"/>
    </row>
    <row r="1715" spans="11:15">
      <c r="K1715" s="1465">
        <v>43772</v>
      </c>
      <c r="L1715" s="1466"/>
      <c r="M1715" s="1467">
        <v>0</v>
      </c>
      <c r="N1715" s="1468">
        <v>1.5618779884420724</v>
      </c>
      <c r="O1715" s="1468"/>
    </row>
    <row r="1716" spans="11:15">
      <c r="K1716" s="1465">
        <v>43773</v>
      </c>
      <c r="L1716" s="1466" t="s">
        <v>2125</v>
      </c>
      <c r="M1716" s="1467">
        <v>1.8984999999999998E-2</v>
      </c>
      <c r="N1716" s="1468">
        <v>1.5621745109781779</v>
      </c>
      <c r="O1716" s="1468"/>
    </row>
    <row r="1717" spans="11:15">
      <c r="K1717" s="1465">
        <v>43774</v>
      </c>
      <c r="L1717" s="1466" t="s">
        <v>2125</v>
      </c>
      <c r="M1717" s="1467">
        <v>1.8984999999999998E-2</v>
      </c>
      <c r="N1717" s="1468">
        <v>1.562471089809087</v>
      </c>
      <c r="O1717" s="1468"/>
    </row>
    <row r="1718" spans="11:15">
      <c r="K1718" s="1465">
        <v>43775</v>
      </c>
      <c r="L1718" s="1466" t="s">
        <v>2125</v>
      </c>
      <c r="M1718" s="1467">
        <v>1.8984999999999998E-2</v>
      </c>
      <c r="N1718" s="1468">
        <v>1.5627677249454872</v>
      </c>
      <c r="O1718" s="1468"/>
    </row>
    <row r="1719" spans="11:15">
      <c r="K1719" s="1465">
        <v>43776</v>
      </c>
      <c r="L1719" s="1466" t="s">
        <v>2125</v>
      </c>
      <c r="M1719" s="1467">
        <v>1.8984999999999998E-2</v>
      </c>
      <c r="N1719" s="1468">
        <v>1.563064416398068</v>
      </c>
      <c r="O1719" s="1468"/>
    </row>
    <row r="1720" spans="11:15">
      <c r="K1720" s="1465">
        <v>43777</v>
      </c>
      <c r="L1720" s="1466" t="s">
        <v>2125</v>
      </c>
      <c r="M1720" s="1467">
        <v>1.8984999999999998E-2</v>
      </c>
      <c r="N1720" s="1468">
        <v>1.5633611641775211</v>
      </c>
      <c r="O1720" s="1468"/>
    </row>
    <row r="1721" spans="11:15">
      <c r="K1721" s="1465">
        <v>43778</v>
      </c>
      <c r="L1721" s="1466"/>
      <c r="M1721" s="1467">
        <v>0</v>
      </c>
      <c r="N1721" s="1468">
        <v>1.5633611641775211</v>
      </c>
      <c r="O1721" s="1468"/>
    </row>
    <row r="1722" spans="11:15">
      <c r="K1722" s="1465">
        <v>43779</v>
      </c>
      <c r="L1722" s="1466"/>
      <c r="M1722" s="1467">
        <v>0</v>
      </c>
      <c r="N1722" s="1468">
        <v>1.5633611641775211</v>
      </c>
      <c r="O1722" s="1468"/>
    </row>
    <row r="1723" spans="11:15">
      <c r="K1723" s="1465">
        <v>43780</v>
      </c>
      <c r="L1723" s="1466" t="s">
        <v>2125</v>
      </c>
      <c r="M1723" s="1467">
        <v>1.8984999999999998E-2</v>
      </c>
      <c r="N1723" s="1468">
        <v>1.5636579682945402</v>
      </c>
      <c r="O1723" s="1468"/>
    </row>
    <row r="1724" spans="11:15">
      <c r="K1724" s="1465">
        <v>43781</v>
      </c>
      <c r="L1724" s="1466" t="s">
        <v>2125</v>
      </c>
      <c r="M1724" s="1467">
        <v>1.8984999999999998E-2</v>
      </c>
      <c r="N1724" s="1468">
        <v>1.5639548287598208</v>
      </c>
      <c r="O1724" s="1468"/>
    </row>
    <row r="1725" spans="11:15">
      <c r="K1725" s="1465">
        <v>43782</v>
      </c>
      <c r="L1725" s="1466" t="s">
        <v>2125</v>
      </c>
      <c r="M1725" s="1467">
        <v>1.8984999999999998E-2</v>
      </c>
      <c r="N1725" s="1468">
        <v>1.5642517455840608</v>
      </c>
      <c r="O1725" s="1468"/>
    </row>
    <row r="1726" spans="11:15">
      <c r="K1726" s="1465">
        <v>43783</v>
      </c>
      <c r="L1726" s="1466" t="s">
        <v>2125</v>
      </c>
      <c r="M1726" s="1467">
        <v>1.8984999999999998E-2</v>
      </c>
      <c r="N1726" s="1468">
        <v>1.5645487187779599</v>
      </c>
      <c r="O1726" s="1468"/>
    </row>
    <row r="1727" spans="11:15">
      <c r="K1727" s="1465">
        <v>43784</v>
      </c>
      <c r="L1727" s="1466"/>
      <c r="M1727" s="1467">
        <v>0</v>
      </c>
      <c r="N1727" s="1468">
        <v>1.5645487187779599</v>
      </c>
      <c r="O1727" s="1468"/>
    </row>
    <row r="1728" spans="11:15">
      <c r="K1728" s="1465">
        <v>43785</v>
      </c>
      <c r="L1728" s="1466"/>
      <c r="M1728" s="1467">
        <v>0</v>
      </c>
      <c r="N1728" s="1468">
        <v>1.5645487187779599</v>
      </c>
      <c r="O1728" s="1468"/>
    </row>
    <row r="1729" spans="11:15">
      <c r="K1729" s="1465">
        <v>43786</v>
      </c>
      <c r="L1729" s="1466"/>
      <c r="M1729" s="1467">
        <v>0</v>
      </c>
      <c r="N1729" s="1468">
        <v>1.5645487187779599</v>
      </c>
      <c r="O1729" s="1468"/>
    </row>
    <row r="1730" spans="11:15">
      <c r="K1730" s="1465">
        <v>43787</v>
      </c>
      <c r="L1730" s="1466" t="s">
        <v>2125</v>
      </c>
      <c r="M1730" s="1467">
        <v>1.8984999999999998E-2</v>
      </c>
      <c r="N1730" s="1468">
        <v>1.5648457483522198</v>
      </c>
      <c r="O1730" s="1468"/>
    </row>
    <row r="1731" spans="11:15">
      <c r="K1731" s="1465">
        <v>43788</v>
      </c>
      <c r="L1731" s="1466" t="s">
        <v>2125</v>
      </c>
      <c r="M1731" s="1467">
        <v>1.8984999999999998E-2</v>
      </c>
      <c r="N1731" s="1468">
        <v>1.5651428343175444</v>
      </c>
      <c r="O1731" s="1468"/>
    </row>
    <row r="1732" spans="11:15">
      <c r="K1732" s="1465">
        <v>43789</v>
      </c>
      <c r="L1732" s="1466" t="s">
        <v>2125</v>
      </c>
      <c r="M1732" s="1467">
        <v>1.8984999999999998E-2</v>
      </c>
      <c r="N1732" s="1468">
        <v>1.5654399766846394</v>
      </c>
      <c r="O1732" s="1468"/>
    </row>
    <row r="1733" spans="11:15">
      <c r="K1733" s="1465">
        <v>43790</v>
      </c>
      <c r="L1733" s="1466" t="s">
        <v>2125</v>
      </c>
      <c r="M1733" s="1467">
        <v>1.8984999999999998E-2</v>
      </c>
      <c r="N1733" s="1468">
        <v>1.5657371754642129</v>
      </c>
      <c r="O1733" s="1468"/>
    </row>
    <row r="1734" spans="11:15">
      <c r="K1734" s="1465">
        <v>43791</v>
      </c>
      <c r="L1734" s="1466" t="s">
        <v>2125</v>
      </c>
      <c r="M1734" s="1467">
        <v>1.8984999999999998E-2</v>
      </c>
      <c r="N1734" s="1468">
        <v>1.5660344306669747</v>
      </c>
      <c r="O1734" s="1468"/>
    </row>
    <row r="1735" spans="11:15">
      <c r="K1735" s="1465">
        <v>43792</v>
      </c>
      <c r="L1735" s="1466"/>
      <c r="M1735" s="1467">
        <v>0</v>
      </c>
      <c r="N1735" s="1468">
        <v>1.5660344306669747</v>
      </c>
      <c r="O1735" s="1468"/>
    </row>
    <row r="1736" spans="11:15">
      <c r="K1736" s="1465">
        <v>43793</v>
      </c>
      <c r="L1736" s="1466"/>
      <c r="M1736" s="1467">
        <v>0</v>
      </c>
      <c r="N1736" s="1468">
        <v>1.5660344306669747</v>
      </c>
      <c r="O1736" s="1468"/>
    </row>
    <row r="1737" spans="11:15">
      <c r="K1737" s="1465">
        <v>43794</v>
      </c>
      <c r="L1737" s="1466" t="s">
        <v>2125</v>
      </c>
      <c r="M1737" s="1467">
        <v>1.8984999999999998E-2</v>
      </c>
      <c r="N1737" s="1468">
        <v>1.5663317423036367</v>
      </c>
      <c r="O1737" s="1468"/>
    </row>
    <row r="1738" spans="11:15">
      <c r="K1738" s="1465">
        <v>43795</v>
      </c>
      <c r="L1738" s="1466" t="s">
        <v>2125</v>
      </c>
      <c r="M1738" s="1467">
        <v>1.8984999999999998E-2</v>
      </c>
      <c r="N1738" s="1468">
        <v>1.566629110384913</v>
      </c>
      <c r="O1738" s="1468"/>
    </row>
    <row r="1739" spans="11:15">
      <c r="K1739" s="1465">
        <v>43796</v>
      </c>
      <c r="L1739" s="1466" t="s">
        <v>2125</v>
      </c>
      <c r="M1739" s="1467">
        <v>1.8984999999999998E-2</v>
      </c>
      <c r="N1739" s="1468">
        <v>1.5669265349215196</v>
      </c>
      <c r="O1739" s="1468"/>
    </row>
    <row r="1740" spans="11:15">
      <c r="K1740" s="1465">
        <v>43797</v>
      </c>
      <c r="L1740" s="1466" t="s">
        <v>2125</v>
      </c>
      <c r="M1740" s="1467">
        <v>1.8984999999999998E-2</v>
      </c>
      <c r="N1740" s="1468">
        <v>1.5672240159241744</v>
      </c>
      <c r="O1740" s="1468"/>
    </row>
    <row r="1741" spans="11:15">
      <c r="K1741" s="1465">
        <v>43798</v>
      </c>
      <c r="L1741" s="1466" t="s">
        <v>2125</v>
      </c>
      <c r="M1741" s="1467">
        <v>1.8984999999999998E-2</v>
      </c>
      <c r="N1741" s="1468">
        <v>1.5675215534035976</v>
      </c>
      <c r="O1741" s="1468"/>
    </row>
    <row r="1742" spans="11:15">
      <c r="K1742" s="1465">
        <v>43799</v>
      </c>
      <c r="L1742" s="1466"/>
      <c r="M1742" s="1467">
        <v>0</v>
      </c>
      <c r="N1742" s="1468">
        <v>1.5675215534035976</v>
      </c>
      <c r="O1742" s="1468"/>
    </row>
    <row r="1743" spans="11:15">
      <c r="K1743" s="1465">
        <v>43800</v>
      </c>
      <c r="L1743" s="1466"/>
      <c r="M1743" s="1467">
        <v>0</v>
      </c>
      <c r="N1743" s="1468">
        <v>1.5675215534035976</v>
      </c>
      <c r="O1743" s="1468"/>
    </row>
    <row r="1744" spans="11:15">
      <c r="K1744" s="1465">
        <v>43801</v>
      </c>
      <c r="L1744" s="1466" t="s">
        <v>2125</v>
      </c>
      <c r="M1744" s="1467">
        <v>1.8984999999999998E-2</v>
      </c>
      <c r="N1744" s="1468">
        <v>1.5678191473705112</v>
      </c>
      <c r="O1744" s="1468"/>
    </row>
    <row r="1745" spans="11:15">
      <c r="K1745" s="1465">
        <v>43802</v>
      </c>
      <c r="L1745" s="1466" t="s">
        <v>2125</v>
      </c>
      <c r="M1745" s="1467">
        <v>1.8984999999999998E-2</v>
      </c>
      <c r="N1745" s="1468">
        <v>1.5681167978356394</v>
      </c>
      <c r="O1745" s="1468"/>
    </row>
    <row r="1746" spans="11:15">
      <c r="K1746" s="1465">
        <v>43803</v>
      </c>
      <c r="L1746" s="1466" t="s">
        <v>2125</v>
      </c>
      <c r="M1746" s="1467">
        <v>1.8984999999999998E-2</v>
      </c>
      <c r="N1746" s="1468">
        <v>1.5684145048097085</v>
      </c>
      <c r="O1746" s="1468"/>
    </row>
    <row r="1747" spans="11:15">
      <c r="K1747" s="1465">
        <v>43804</v>
      </c>
      <c r="L1747" s="1466" t="s">
        <v>2125</v>
      </c>
      <c r="M1747" s="1467">
        <v>1.8984999999999998E-2</v>
      </c>
      <c r="N1747" s="1468">
        <v>1.5687122683034465</v>
      </c>
      <c r="O1747" s="1468"/>
    </row>
    <row r="1748" spans="11:15">
      <c r="K1748" s="1465">
        <v>43805</v>
      </c>
      <c r="L1748" s="1466" t="s">
        <v>2125</v>
      </c>
      <c r="M1748" s="1467">
        <v>1.8984999999999998E-2</v>
      </c>
      <c r="N1748" s="1468">
        <v>1.5690100883275837</v>
      </c>
      <c r="O1748" s="1468"/>
    </row>
    <row r="1749" spans="11:15">
      <c r="K1749" s="1465">
        <v>43806</v>
      </c>
      <c r="L1749" s="1466"/>
      <c r="M1749" s="1467">
        <v>0</v>
      </c>
      <c r="N1749" s="1468">
        <v>1.5690100883275837</v>
      </c>
      <c r="O1749" s="1468"/>
    </row>
    <row r="1750" spans="11:15">
      <c r="K1750" s="1465">
        <v>43807</v>
      </c>
      <c r="L1750" s="1466"/>
      <c r="M1750" s="1467">
        <v>0</v>
      </c>
      <c r="N1750" s="1468">
        <v>1.5690100883275837</v>
      </c>
      <c r="O1750" s="1468"/>
    </row>
    <row r="1751" spans="11:15">
      <c r="K1751" s="1465">
        <v>43808</v>
      </c>
      <c r="L1751" s="1466" t="s">
        <v>2125</v>
      </c>
      <c r="M1751" s="1467">
        <v>1.8984999999999998E-2</v>
      </c>
      <c r="N1751" s="1468">
        <v>1.5693079648928525</v>
      </c>
      <c r="O1751" s="1468"/>
    </row>
    <row r="1752" spans="11:15">
      <c r="K1752" s="1465">
        <v>43809</v>
      </c>
      <c r="L1752" s="1466" t="s">
        <v>2125</v>
      </c>
      <c r="M1752" s="1467">
        <v>1.8984999999999998E-2</v>
      </c>
      <c r="N1752" s="1468">
        <v>1.5696058980099874</v>
      </c>
      <c r="O1752" s="1468"/>
    </row>
    <row r="1753" spans="11:15">
      <c r="K1753" s="1465">
        <v>43810</v>
      </c>
      <c r="L1753" s="1466" t="s">
        <v>2125</v>
      </c>
      <c r="M1753" s="1467">
        <v>1.8984999999999998E-2</v>
      </c>
      <c r="N1753" s="1468">
        <v>1.5699038876897244</v>
      </c>
      <c r="O1753" s="1468"/>
    </row>
    <row r="1754" spans="11:15">
      <c r="K1754" s="1465">
        <v>43811</v>
      </c>
      <c r="L1754" s="1466" t="s">
        <v>2125</v>
      </c>
      <c r="M1754" s="1467">
        <v>1.7089E-2</v>
      </c>
      <c r="N1754" s="1468">
        <v>1.5701721685650916</v>
      </c>
      <c r="O1754" s="1468"/>
    </row>
    <row r="1755" spans="11:15">
      <c r="K1755" s="1465">
        <v>43812</v>
      </c>
      <c r="L1755" s="1466" t="s">
        <v>2125</v>
      </c>
      <c r="M1755" s="1467">
        <v>1.7089E-2</v>
      </c>
      <c r="N1755" s="1468">
        <v>1.5704404952869775</v>
      </c>
      <c r="O1755" s="1468"/>
    </row>
    <row r="1756" spans="11:15">
      <c r="K1756" s="1465">
        <v>43813</v>
      </c>
      <c r="L1756" s="1466"/>
      <c r="M1756" s="1467">
        <v>0</v>
      </c>
      <c r="N1756" s="1468">
        <v>1.5704404952869775</v>
      </c>
      <c r="O1756" s="1468"/>
    </row>
    <row r="1757" spans="11:15">
      <c r="K1757" s="1465">
        <v>43814</v>
      </c>
      <c r="L1757" s="1466"/>
      <c r="M1757" s="1467">
        <v>0</v>
      </c>
      <c r="N1757" s="1468">
        <v>1.5704404952869775</v>
      </c>
      <c r="O1757" s="1468"/>
    </row>
    <row r="1758" spans="11:15">
      <c r="K1758" s="1465">
        <v>43815</v>
      </c>
      <c r="L1758" s="1466" t="s">
        <v>2125</v>
      </c>
      <c r="M1758" s="1467">
        <v>1.7089E-2</v>
      </c>
      <c r="N1758" s="1468">
        <v>1.5707088678632171</v>
      </c>
      <c r="O1758" s="1468"/>
    </row>
    <row r="1759" spans="11:15">
      <c r="K1759" s="1465">
        <v>43816</v>
      </c>
      <c r="L1759" s="1466" t="s">
        <v>2125</v>
      </c>
      <c r="M1759" s="1467">
        <v>1.7089E-2</v>
      </c>
      <c r="N1759" s="1468">
        <v>1.570977286301646</v>
      </c>
      <c r="O1759" s="1468"/>
    </row>
    <row r="1760" spans="11:15">
      <c r="K1760" s="1465">
        <v>43817</v>
      </c>
      <c r="L1760" s="1466" t="s">
        <v>2125</v>
      </c>
      <c r="M1760" s="1467">
        <v>1.7089E-2</v>
      </c>
      <c r="N1760" s="1468">
        <v>1.5712457506101021</v>
      </c>
      <c r="O1760" s="1468"/>
    </row>
    <row r="1761" spans="11:15">
      <c r="K1761" s="1465">
        <v>43818</v>
      </c>
      <c r="L1761" s="1466" t="s">
        <v>2125</v>
      </c>
      <c r="M1761" s="1467">
        <v>1.7089E-2</v>
      </c>
      <c r="N1761" s="1468">
        <v>1.5715142607964236</v>
      </c>
      <c r="O1761" s="1468"/>
    </row>
    <row r="1762" spans="11:15">
      <c r="K1762" s="1465">
        <v>43819</v>
      </c>
      <c r="L1762" s="1466" t="s">
        <v>2125</v>
      </c>
      <c r="M1762" s="1467">
        <v>1.7089E-2</v>
      </c>
      <c r="N1762" s="1468">
        <v>1.5717828168684511</v>
      </c>
      <c r="O1762" s="1468"/>
    </row>
    <row r="1763" spans="11:15">
      <c r="K1763" s="1465">
        <v>43820</v>
      </c>
      <c r="L1763" s="1466"/>
      <c r="M1763" s="1467">
        <v>0</v>
      </c>
      <c r="N1763" s="1468">
        <v>1.5717828168684511</v>
      </c>
      <c r="O1763" s="1468"/>
    </row>
    <row r="1764" spans="11:15">
      <c r="K1764" s="1465">
        <v>43821</v>
      </c>
      <c r="L1764" s="1466"/>
      <c r="M1764" s="1467">
        <v>0</v>
      </c>
      <c r="N1764" s="1468">
        <v>1.5717828168684511</v>
      </c>
      <c r="O1764" s="1468"/>
    </row>
    <row r="1765" spans="11:15">
      <c r="K1765" s="1465">
        <v>43822</v>
      </c>
      <c r="L1765" s="1466" t="s">
        <v>2125</v>
      </c>
      <c r="M1765" s="1467">
        <v>1.7089E-2</v>
      </c>
      <c r="N1765" s="1468">
        <v>1.5720514188340255</v>
      </c>
      <c r="O1765" s="1468"/>
    </row>
    <row r="1766" spans="11:15">
      <c r="K1766" s="1465">
        <v>43823</v>
      </c>
      <c r="L1766" s="1466" t="s">
        <v>2125</v>
      </c>
      <c r="M1766" s="1467">
        <v>1.7089E-2</v>
      </c>
      <c r="N1766" s="1468">
        <v>1.57232006670099</v>
      </c>
      <c r="O1766" s="1468"/>
    </row>
    <row r="1767" spans="11:15">
      <c r="K1767" s="1465">
        <v>43824</v>
      </c>
      <c r="L1767" s="1466"/>
      <c r="M1767" s="1467">
        <v>0</v>
      </c>
      <c r="N1767" s="1468">
        <v>1.57232006670099</v>
      </c>
      <c r="O1767" s="1468"/>
    </row>
    <row r="1768" spans="11:15">
      <c r="K1768" s="1465">
        <v>43825</v>
      </c>
      <c r="L1768" s="1466" t="s">
        <v>2125</v>
      </c>
      <c r="M1768" s="1467">
        <v>1.7089E-2</v>
      </c>
      <c r="N1768" s="1468">
        <v>1.5725887604771884</v>
      </c>
      <c r="O1768" s="1468"/>
    </row>
    <row r="1769" spans="11:15">
      <c r="K1769" s="1465">
        <v>43826</v>
      </c>
      <c r="L1769" s="1466" t="s">
        <v>2125</v>
      </c>
      <c r="M1769" s="1467">
        <v>1.7089E-2</v>
      </c>
      <c r="N1769" s="1468">
        <v>1.5728575001704663</v>
      </c>
      <c r="O1769" s="1468"/>
    </row>
    <row r="1770" spans="11:15">
      <c r="K1770" s="1465">
        <v>43827</v>
      </c>
      <c r="L1770" s="1466"/>
      <c r="M1770" s="1467">
        <v>0</v>
      </c>
      <c r="N1770" s="1468">
        <v>1.5728575001704663</v>
      </c>
      <c r="O1770" s="1468"/>
    </row>
    <row r="1771" spans="11:15">
      <c r="K1771" s="1465">
        <v>43828</v>
      </c>
      <c r="L1771" s="1466"/>
      <c r="M1771" s="1467">
        <v>0</v>
      </c>
      <c r="N1771" s="1468">
        <v>1.5728575001704663</v>
      </c>
      <c r="O1771" s="1468"/>
    </row>
    <row r="1772" spans="11:15">
      <c r="K1772" s="1465">
        <v>43829</v>
      </c>
      <c r="L1772" s="1466" t="s">
        <v>2125</v>
      </c>
      <c r="M1772" s="1467">
        <v>1.7089E-2</v>
      </c>
      <c r="N1772" s="1468">
        <v>1.5731262857886703</v>
      </c>
      <c r="O1772" s="1468"/>
    </row>
    <row r="1773" spans="11:15">
      <c r="K1773" s="1465">
        <v>43830</v>
      </c>
      <c r="L1773" s="1466" t="s">
        <v>2125</v>
      </c>
      <c r="M1773" s="1467">
        <v>1.7089E-2</v>
      </c>
      <c r="N1773" s="1468">
        <v>1.5733951173396485</v>
      </c>
      <c r="O1773" s="1468"/>
    </row>
    <row r="1774" spans="11:15">
      <c r="K1774" s="1465">
        <v>43831</v>
      </c>
      <c r="L1774" s="1466"/>
      <c r="M1774" s="1467">
        <v>0</v>
      </c>
      <c r="N1774" s="1468">
        <v>1.5733951173396485</v>
      </c>
      <c r="O1774" s="1468"/>
    </row>
    <row r="1775" spans="11:15">
      <c r="K1775" s="1465">
        <v>43832</v>
      </c>
      <c r="L1775" s="1466" t="s">
        <v>2125</v>
      </c>
      <c r="M1775" s="1467">
        <v>1.7089E-2</v>
      </c>
      <c r="N1775" s="1468">
        <v>1.5736639948312505</v>
      </c>
      <c r="O1775" s="1468"/>
    </row>
    <row r="1776" spans="11:15">
      <c r="K1776" s="1465">
        <v>43833</v>
      </c>
      <c r="L1776" s="1466" t="s">
        <v>2125</v>
      </c>
      <c r="M1776" s="1467">
        <v>1.7089E-2</v>
      </c>
      <c r="N1776" s="1468">
        <v>1.5739329182713271</v>
      </c>
      <c r="O1776" s="1468"/>
    </row>
    <row r="1777" spans="11:15">
      <c r="K1777" s="1465">
        <v>43834</v>
      </c>
      <c r="L1777" s="1466"/>
      <c r="M1777" s="1467">
        <v>0</v>
      </c>
      <c r="N1777" s="1468">
        <v>1.5739329182713271</v>
      </c>
      <c r="O1777" s="1468"/>
    </row>
    <row r="1778" spans="11:15">
      <c r="K1778" s="1465">
        <v>43835</v>
      </c>
      <c r="L1778" s="1466"/>
      <c r="M1778" s="1467">
        <v>0</v>
      </c>
      <c r="N1778" s="1468">
        <v>1.5739329182713271</v>
      </c>
      <c r="O1778" s="1468"/>
    </row>
    <row r="1779" spans="11:15">
      <c r="K1779" s="1465">
        <v>43836</v>
      </c>
      <c r="L1779" s="1466" t="s">
        <v>2125</v>
      </c>
      <c r="M1779" s="1467">
        <v>1.7089E-2</v>
      </c>
      <c r="N1779" s="1468">
        <v>1.5742018876677304</v>
      </c>
      <c r="O1779" s="1468"/>
    </row>
    <row r="1780" spans="11:15">
      <c r="K1780" s="1465">
        <v>43837</v>
      </c>
      <c r="L1780" s="1466" t="s">
        <v>2125</v>
      </c>
      <c r="M1780" s="1467">
        <v>1.7089E-2</v>
      </c>
      <c r="N1780" s="1468">
        <v>1.5744709030283137</v>
      </c>
      <c r="O1780" s="1468"/>
    </row>
    <row r="1781" spans="11:15">
      <c r="K1781" s="1465">
        <v>43838</v>
      </c>
      <c r="L1781" s="1466" t="s">
        <v>2125</v>
      </c>
      <c r="M1781" s="1467">
        <v>1.7089E-2</v>
      </c>
      <c r="N1781" s="1468">
        <v>1.5747399643609321</v>
      </c>
      <c r="O1781" s="1468"/>
    </row>
    <row r="1782" spans="11:15">
      <c r="K1782" s="1465">
        <v>43839</v>
      </c>
      <c r="L1782" s="1466" t="s">
        <v>2125</v>
      </c>
      <c r="M1782" s="1467">
        <v>1.7089E-2</v>
      </c>
      <c r="N1782" s="1468">
        <v>1.5750090716734417</v>
      </c>
      <c r="O1782" s="1468"/>
    </row>
    <row r="1783" spans="11:15">
      <c r="K1783" s="1465">
        <v>43840</v>
      </c>
      <c r="L1783" s="1466" t="s">
        <v>2125</v>
      </c>
      <c r="M1783" s="1467">
        <v>1.7089E-2</v>
      </c>
      <c r="N1783" s="1468">
        <v>1.5752782249736998</v>
      </c>
      <c r="O1783" s="1468"/>
    </row>
    <row r="1784" spans="11:15">
      <c r="K1784" s="1465">
        <v>43841</v>
      </c>
      <c r="L1784" s="1466"/>
      <c r="M1784" s="1467">
        <v>0</v>
      </c>
      <c r="N1784" s="1468">
        <v>1.5752782249736998</v>
      </c>
      <c r="O1784" s="1468"/>
    </row>
    <row r="1785" spans="11:15">
      <c r="K1785" s="1465">
        <v>43842</v>
      </c>
      <c r="L1785" s="1466"/>
      <c r="M1785" s="1467">
        <v>0</v>
      </c>
      <c r="N1785" s="1468">
        <v>1.5752782249736998</v>
      </c>
      <c r="O1785" s="1468"/>
    </row>
    <row r="1786" spans="11:15">
      <c r="K1786" s="1465">
        <v>43843</v>
      </c>
      <c r="L1786" s="1466" t="s">
        <v>2125</v>
      </c>
      <c r="M1786" s="1467">
        <v>1.7089E-2</v>
      </c>
      <c r="N1786" s="1468">
        <v>1.5755474242695655</v>
      </c>
      <c r="O1786" s="1468"/>
    </row>
    <row r="1787" spans="11:15">
      <c r="K1787" s="1465">
        <v>43844</v>
      </c>
      <c r="L1787" s="1466" t="s">
        <v>2125</v>
      </c>
      <c r="M1787" s="1467">
        <v>1.7089E-2</v>
      </c>
      <c r="N1787" s="1468">
        <v>1.5758166695688989</v>
      </c>
      <c r="O1787" s="1468"/>
    </row>
    <row r="1788" spans="11:15">
      <c r="K1788" s="1465">
        <v>43845</v>
      </c>
      <c r="L1788" s="1466" t="s">
        <v>2125</v>
      </c>
      <c r="M1788" s="1467">
        <v>1.7089E-2</v>
      </c>
      <c r="N1788" s="1468">
        <v>1.5760859608795614</v>
      </c>
      <c r="O1788" s="1468"/>
    </row>
    <row r="1789" spans="11:15">
      <c r="K1789" s="1465">
        <v>43846</v>
      </c>
      <c r="L1789" s="1466" t="s">
        <v>2125</v>
      </c>
      <c r="M1789" s="1467">
        <v>1.7089E-2</v>
      </c>
      <c r="N1789" s="1468">
        <v>1.576355298209416</v>
      </c>
      <c r="O1789" s="1468"/>
    </row>
    <row r="1790" spans="11:15">
      <c r="K1790" s="1465">
        <v>43847</v>
      </c>
      <c r="L1790" s="1466" t="s">
        <v>2125</v>
      </c>
      <c r="M1790" s="1467">
        <v>1.7089E-2</v>
      </c>
      <c r="N1790" s="1468">
        <v>1.576624681566327</v>
      </c>
      <c r="O1790" s="1468"/>
    </row>
    <row r="1791" spans="11:15">
      <c r="K1791" s="1465">
        <v>43848</v>
      </c>
      <c r="L1791" s="1466"/>
      <c r="M1791" s="1467">
        <v>0</v>
      </c>
      <c r="N1791" s="1468">
        <v>1.576624681566327</v>
      </c>
      <c r="O1791" s="1468"/>
    </row>
    <row r="1792" spans="11:15">
      <c r="K1792" s="1465">
        <v>43849</v>
      </c>
      <c r="L1792" s="1466"/>
      <c r="M1792" s="1467">
        <v>0</v>
      </c>
      <c r="N1792" s="1468">
        <v>1.576624681566327</v>
      </c>
      <c r="O1792" s="1468"/>
    </row>
    <row r="1793" spans="11:15">
      <c r="K1793" s="1465">
        <v>43850</v>
      </c>
      <c r="L1793" s="1466" t="s">
        <v>2125</v>
      </c>
      <c r="M1793" s="1467">
        <v>1.7089E-2</v>
      </c>
      <c r="N1793" s="1468">
        <v>1.5768941109581598</v>
      </c>
      <c r="O1793" s="1468"/>
    </row>
    <row r="1794" spans="11:15">
      <c r="K1794" s="1465">
        <v>43851</v>
      </c>
      <c r="L1794" s="1466" t="s">
        <v>2125</v>
      </c>
      <c r="M1794" s="1467">
        <v>1.7089E-2</v>
      </c>
      <c r="N1794" s="1468">
        <v>1.5771635863927813</v>
      </c>
      <c r="O1794" s="1468"/>
    </row>
    <row r="1795" spans="11:15">
      <c r="K1795" s="1465">
        <v>43852</v>
      </c>
      <c r="L1795" s="1466" t="s">
        <v>2125</v>
      </c>
      <c r="M1795" s="1467">
        <v>1.7089E-2</v>
      </c>
      <c r="N1795" s="1468">
        <v>1.5774331078780599</v>
      </c>
      <c r="O1795" s="1468"/>
    </row>
    <row r="1796" spans="11:15">
      <c r="K1796" s="1465">
        <v>43853</v>
      </c>
      <c r="L1796" s="1466" t="s">
        <v>2125</v>
      </c>
      <c r="M1796" s="1467">
        <v>1.7089E-2</v>
      </c>
      <c r="N1796" s="1468">
        <v>1.577702675421865</v>
      </c>
      <c r="O1796" s="1468"/>
    </row>
    <row r="1797" spans="11:15">
      <c r="K1797" s="1465">
        <v>43854</v>
      </c>
      <c r="L1797" s="1466" t="s">
        <v>2125</v>
      </c>
      <c r="M1797" s="1467">
        <v>1.7089E-2</v>
      </c>
      <c r="N1797" s="1468">
        <v>1.5779722890320678</v>
      </c>
      <c r="O1797" s="1468"/>
    </row>
    <row r="1798" spans="11:15">
      <c r="K1798" s="1465">
        <v>43855</v>
      </c>
      <c r="L1798" s="1466"/>
      <c r="M1798" s="1467">
        <v>0</v>
      </c>
      <c r="N1798" s="1468">
        <v>1.5779722890320678</v>
      </c>
      <c r="O1798" s="1468"/>
    </row>
    <row r="1799" spans="11:15">
      <c r="K1799" s="1465">
        <v>43856</v>
      </c>
      <c r="L1799" s="1466"/>
      <c r="M1799" s="1467">
        <v>0</v>
      </c>
      <c r="N1799" s="1468">
        <v>1.5779722890320678</v>
      </c>
      <c r="O1799" s="1468"/>
    </row>
    <row r="1800" spans="11:15">
      <c r="K1800" s="1465">
        <v>43857</v>
      </c>
      <c r="L1800" s="1466" t="s">
        <v>2125</v>
      </c>
      <c r="M1800" s="1467">
        <v>1.7089E-2</v>
      </c>
      <c r="N1800" s="1468">
        <v>1.5782419487165404</v>
      </c>
      <c r="O1800" s="1468"/>
    </row>
    <row r="1801" spans="11:15">
      <c r="K1801" s="1465">
        <v>43858</v>
      </c>
      <c r="L1801" s="1466" t="s">
        <v>2125</v>
      </c>
      <c r="M1801" s="1467">
        <v>1.7089E-2</v>
      </c>
      <c r="N1801" s="1468">
        <v>1.5785116544831566</v>
      </c>
      <c r="O1801" s="1468"/>
    </row>
    <row r="1802" spans="11:15">
      <c r="K1802" s="1465">
        <v>43859</v>
      </c>
      <c r="L1802" s="1466" t="s">
        <v>2125</v>
      </c>
      <c r="M1802" s="1467">
        <v>1.7089E-2</v>
      </c>
      <c r="N1802" s="1468">
        <v>1.5787814063397911</v>
      </c>
      <c r="O1802" s="1468"/>
    </row>
    <row r="1803" spans="11:15">
      <c r="K1803" s="1465">
        <v>43860</v>
      </c>
      <c r="L1803" s="1466" t="s">
        <v>2125</v>
      </c>
      <c r="M1803" s="1467">
        <v>1.7089E-2</v>
      </c>
      <c r="N1803" s="1468">
        <v>1.5790512042943203</v>
      </c>
      <c r="O1803" s="1468"/>
    </row>
    <row r="1804" spans="11:15">
      <c r="K1804" s="1465">
        <v>43861</v>
      </c>
      <c r="L1804" s="1466" t="s">
        <v>2125</v>
      </c>
      <c r="M1804" s="1467">
        <v>1.7089E-2</v>
      </c>
      <c r="N1804" s="1468">
        <v>1.5793210483546221</v>
      </c>
      <c r="O1804" s="1468"/>
    </row>
    <row r="1805" spans="11:15">
      <c r="K1805" s="1465">
        <v>43862</v>
      </c>
      <c r="L1805" s="1466"/>
      <c r="M1805" s="1467">
        <v>0</v>
      </c>
      <c r="N1805" s="1468">
        <v>1.5793210483546221</v>
      </c>
      <c r="O1805" s="1468"/>
    </row>
    <row r="1806" spans="11:15">
      <c r="K1806" s="1465">
        <v>43863</v>
      </c>
      <c r="L1806" s="1466"/>
      <c r="M1806" s="1467">
        <v>0</v>
      </c>
      <c r="N1806" s="1468">
        <v>1.5793210483546221</v>
      </c>
      <c r="O1806" s="1468"/>
    </row>
    <row r="1807" spans="11:15">
      <c r="K1807" s="1465">
        <v>43864</v>
      </c>
      <c r="L1807" s="1466" t="s">
        <v>2125</v>
      </c>
      <c r="M1807" s="1467">
        <v>1.7089E-2</v>
      </c>
      <c r="N1807" s="1468">
        <v>1.5795909385285754</v>
      </c>
      <c r="O1807" s="1468"/>
    </row>
    <row r="1808" spans="11:15">
      <c r="K1808" s="1465">
        <v>43865</v>
      </c>
      <c r="L1808" s="1466" t="s">
        <v>2125</v>
      </c>
      <c r="M1808" s="1467">
        <v>1.7089E-2</v>
      </c>
      <c r="N1808" s="1468">
        <v>1.5798608748240603</v>
      </c>
      <c r="O1808" s="1468"/>
    </row>
    <row r="1809" spans="11:15">
      <c r="K1809" s="1465">
        <v>43866</v>
      </c>
      <c r="L1809" s="1466" t="s">
        <v>2125</v>
      </c>
      <c r="M1809" s="1467">
        <v>1.7089E-2</v>
      </c>
      <c r="N1809" s="1468">
        <v>1.580130857248959</v>
      </c>
      <c r="O1809" s="1468"/>
    </row>
    <row r="1810" spans="11:15">
      <c r="K1810" s="1465">
        <v>43867</v>
      </c>
      <c r="L1810" s="1466" t="s">
        <v>2125</v>
      </c>
      <c r="M1810" s="1467">
        <v>1.6136999999999999E-2</v>
      </c>
      <c r="N1810" s="1468">
        <v>1.5803858429653934</v>
      </c>
      <c r="O1810" s="1468"/>
    </row>
    <row r="1811" spans="11:15">
      <c r="K1811" s="1465">
        <v>43868</v>
      </c>
      <c r="L1811" s="1466" t="s">
        <v>2125</v>
      </c>
      <c r="M1811" s="1467">
        <v>1.6136999999999999E-2</v>
      </c>
      <c r="N1811" s="1468">
        <v>1.5806408698288728</v>
      </c>
      <c r="O1811" s="1468"/>
    </row>
    <row r="1812" spans="11:15">
      <c r="K1812" s="1465">
        <v>43869</v>
      </c>
      <c r="L1812" s="1466"/>
      <c r="M1812" s="1467">
        <v>0</v>
      </c>
      <c r="N1812" s="1468">
        <v>1.5806408698288728</v>
      </c>
      <c r="O1812" s="1468"/>
    </row>
    <row r="1813" spans="11:15">
      <c r="K1813" s="1465">
        <v>43870</v>
      </c>
      <c r="L1813" s="1466"/>
      <c r="M1813" s="1467">
        <v>0</v>
      </c>
      <c r="N1813" s="1468">
        <v>1.5806408698288728</v>
      </c>
      <c r="O1813" s="1468"/>
    </row>
    <row r="1814" spans="11:15">
      <c r="K1814" s="1465">
        <v>43871</v>
      </c>
      <c r="L1814" s="1466" t="s">
        <v>2125</v>
      </c>
      <c r="M1814" s="1467">
        <v>1.6136999999999999E-2</v>
      </c>
      <c r="N1814" s="1468">
        <v>1.5808959378460372</v>
      </c>
      <c r="O1814" s="1468"/>
    </row>
    <row r="1815" spans="11:15">
      <c r="K1815" s="1465">
        <v>43872</v>
      </c>
      <c r="L1815" s="1466" t="s">
        <v>2125</v>
      </c>
      <c r="M1815" s="1467">
        <v>1.6136999999999999E-2</v>
      </c>
      <c r="N1815" s="1468">
        <v>1.5811510470235275</v>
      </c>
      <c r="O1815" s="1468"/>
    </row>
    <row r="1816" spans="11:15">
      <c r="K1816" s="1465">
        <v>43873</v>
      </c>
      <c r="L1816" s="1466" t="s">
        <v>2125</v>
      </c>
      <c r="M1816" s="1467">
        <v>1.6136999999999999E-2</v>
      </c>
      <c r="N1816" s="1468">
        <v>1.5814061973679858</v>
      </c>
      <c r="O1816" s="1468"/>
    </row>
    <row r="1817" spans="11:15">
      <c r="K1817" s="1465">
        <v>43874</v>
      </c>
      <c r="L1817" s="1466" t="s">
        <v>2125</v>
      </c>
      <c r="M1817" s="1467">
        <v>1.6136999999999999E-2</v>
      </c>
      <c r="N1817" s="1468">
        <v>1.5816613888860551</v>
      </c>
      <c r="O1817" s="1468"/>
    </row>
    <row r="1818" spans="11:15">
      <c r="K1818" s="1465">
        <v>43875</v>
      </c>
      <c r="L1818" s="1466" t="s">
        <v>2125</v>
      </c>
      <c r="M1818" s="1467">
        <v>1.6136999999999999E-2</v>
      </c>
      <c r="N1818" s="1468">
        <v>1.5819166215843798</v>
      </c>
      <c r="O1818" s="1468"/>
    </row>
    <row r="1819" spans="11:15">
      <c r="K1819" s="1465">
        <v>43876</v>
      </c>
      <c r="L1819" s="1466"/>
      <c r="M1819" s="1467">
        <v>0</v>
      </c>
      <c r="N1819" s="1468">
        <v>1.5819166215843798</v>
      </c>
      <c r="O1819" s="1468"/>
    </row>
    <row r="1820" spans="11:15">
      <c r="K1820" s="1465">
        <v>43877</v>
      </c>
      <c r="L1820" s="1466"/>
      <c r="M1820" s="1467">
        <v>0</v>
      </c>
      <c r="N1820" s="1468">
        <v>1.5819166215843798</v>
      </c>
      <c r="O1820" s="1468"/>
    </row>
    <row r="1821" spans="11:15">
      <c r="K1821" s="1465">
        <v>43878</v>
      </c>
      <c r="L1821" s="1466" t="s">
        <v>2125</v>
      </c>
      <c r="M1821" s="1467">
        <v>1.6136999999999999E-2</v>
      </c>
      <c r="N1821" s="1468">
        <v>1.5821718954696049</v>
      </c>
      <c r="O1821" s="1468"/>
    </row>
    <row r="1822" spans="11:15">
      <c r="K1822" s="1465">
        <v>43879</v>
      </c>
      <c r="L1822" s="1466" t="s">
        <v>2125</v>
      </c>
      <c r="M1822" s="1467">
        <v>1.6136999999999999E-2</v>
      </c>
      <c r="N1822" s="1468">
        <v>1.582427210548377</v>
      </c>
      <c r="O1822" s="1468"/>
    </row>
    <row r="1823" spans="11:15">
      <c r="K1823" s="1465">
        <v>43880</v>
      </c>
      <c r="L1823" s="1466" t="s">
        <v>2125</v>
      </c>
      <c r="M1823" s="1467">
        <v>1.6136999999999999E-2</v>
      </c>
      <c r="N1823" s="1468">
        <v>1.5826825668273432</v>
      </c>
      <c r="O1823" s="1468"/>
    </row>
    <row r="1824" spans="11:15">
      <c r="K1824" s="1465">
        <v>43881</v>
      </c>
      <c r="L1824" s="1466" t="s">
        <v>2125</v>
      </c>
      <c r="M1824" s="1467">
        <v>1.6136999999999999E-2</v>
      </c>
      <c r="N1824" s="1468">
        <v>1.5829379643131523</v>
      </c>
      <c r="O1824" s="1468"/>
    </row>
    <row r="1825" spans="11:15">
      <c r="K1825" s="1465">
        <v>43882</v>
      </c>
      <c r="L1825" s="1466" t="s">
        <v>2125</v>
      </c>
      <c r="M1825" s="1467">
        <v>1.6136999999999999E-2</v>
      </c>
      <c r="N1825" s="1468">
        <v>1.5831934030124535</v>
      </c>
      <c r="O1825" s="1468"/>
    </row>
    <row r="1826" spans="11:15">
      <c r="K1826" s="1465">
        <v>43883</v>
      </c>
      <c r="L1826" s="1466"/>
      <c r="M1826" s="1467">
        <v>0</v>
      </c>
      <c r="N1826" s="1468">
        <v>1.5831934030124535</v>
      </c>
      <c r="O1826" s="1468"/>
    </row>
    <row r="1827" spans="11:15">
      <c r="K1827" s="1465">
        <v>43884</v>
      </c>
      <c r="L1827" s="1466"/>
      <c r="M1827" s="1467">
        <v>0</v>
      </c>
      <c r="N1827" s="1468">
        <v>1.5831934030124535</v>
      </c>
      <c r="O1827" s="1468"/>
    </row>
    <row r="1828" spans="11:15">
      <c r="K1828" s="1465">
        <v>43885</v>
      </c>
      <c r="L1828" s="1466"/>
      <c r="M1828" s="1467">
        <v>0</v>
      </c>
      <c r="N1828" s="1468">
        <v>1.5831934030124535</v>
      </c>
      <c r="O1828" s="1468"/>
    </row>
    <row r="1829" spans="11:15">
      <c r="K1829" s="1465">
        <v>43886</v>
      </c>
      <c r="L1829" s="1466"/>
      <c r="M1829" s="1467">
        <v>0</v>
      </c>
      <c r="N1829" s="1468">
        <v>1.5831934030124535</v>
      </c>
      <c r="O1829" s="1468"/>
    </row>
    <row r="1830" spans="11:15">
      <c r="K1830" s="1465">
        <v>43887</v>
      </c>
      <c r="L1830" s="1466" t="s">
        <v>2125</v>
      </c>
      <c r="M1830" s="1467">
        <v>1.6136999999999999E-2</v>
      </c>
      <c r="N1830" s="1468">
        <v>1.5834488829318978</v>
      </c>
      <c r="O1830" s="1468"/>
    </row>
    <row r="1831" spans="11:15">
      <c r="K1831" s="1465">
        <v>43888</v>
      </c>
      <c r="L1831" s="1466" t="s">
        <v>2125</v>
      </c>
      <c r="M1831" s="1467">
        <v>1.6136999999999999E-2</v>
      </c>
      <c r="N1831" s="1468">
        <v>1.5837044040781365</v>
      </c>
      <c r="O1831" s="1468"/>
    </row>
    <row r="1832" spans="11:15">
      <c r="K1832" s="1465">
        <v>43889</v>
      </c>
      <c r="L1832" s="1466" t="s">
        <v>2125</v>
      </c>
      <c r="M1832" s="1467">
        <v>1.6136999999999999E-2</v>
      </c>
      <c r="N1832" s="1468">
        <v>1.5839599664578228</v>
      </c>
      <c r="O1832" s="1468"/>
    </row>
    <row r="1833" spans="11:15">
      <c r="K1833" s="1465">
        <v>43890</v>
      </c>
      <c r="L1833" s="1466"/>
      <c r="M1833" s="1467">
        <v>0</v>
      </c>
      <c r="N1833" s="1468">
        <v>1.5839599664578228</v>
      </c>
      <c r="O1833" s="1468"/>
    </row>
    <row r="1834" spans="11:15">
      <c r="K1834" s="1465">
        <v>43891</v>
      </c>
      <c r="L1834" s="1466"/>
      <c r="M1834" s="1467">
        <v>0</v>
      </c>
      <c r="N1834" s="1468">
        <v>1.5839599664578228</v>
      </c>
      <c r="O1834" s="1468"/>
    </row>
    <row r="1835" spans="11:15">
      <c r="K1835" s="1465">
        <v>43892</v>
      </c>
      <c r="L1835" s="1466" t="s">
        <v>2125</v>
      </c>
      <c r="M1835" s="1467">
        <v>1.6136999999999999E-2</v>
      </c>
      <c r="N1835" s="1468">
        <v>1.5842155700776102</v>
      </c>
      <c r="O1835" s="1468"/>
    </row>
    <row r="1836" spans="11:15">
      <c r="K1836" s="1465">
        <v>43893</v>
      </c>
      <c r="L1836" s="1466" t="s">
        <v>2125</v>
      </c>
      <c r="M1836" s="1467">
        <v>1.6136999999999999E-2</v>
      </c>
      <c r="N1836" s="1468">
        <v>1.5844712149441535</v>
      </c>
      <c r="O1836" s="1468"/>
    </row>
    <row r="1837" spans="11:15">
      <c r="K1837" s="1465">
        <v>43894</v>
      </c>
      <c r="L1837" s="1466" t="s">
        <v>2125</v>
      </c>
      <c r="M1837" s="1467">
        <v>1.6136999999999999E-2</v>
      </c>
      <c r="N1837" s="1468">
        <v>1.5847269010641092</v>
      </c>
      <c r="O1837" s="1468"/>
    </row>
    <row r="1838" spans="11:15">
      <c r="K1838" s="1465">
        <v>43895</v>
      </c>
      <c r="L1838" s="1466" t="s">
        <v>2125</v>
      </c>
      <c r="M1838" s="1467">
        <v>1.6136999999999999E-2</v>
      </c>
      <c r="N1838" s="1468">
        <v>1.584982628444134</v>
      </c>
      <c r="O1838" s="1468"/>
    </row>
    <row r="1839" spans="11:15">
      <c r="K1839" s="1465">
        <v>43896</v>
      </c>
      <c r="L1839" s="1466" t="s">
        <v>2125</v>
      </c>
      <c r="M1839" s="1467">
        <v>1.6136999999999999E-2</v>
      </c>
      <c r="N1839" s="1468">
        <v>1.5852383970908861</v>
      </c>
      <c r="O1839" s="1468"/>
    </row>
    <row r="1840" spans="11:15">
      <c r="K1840" s="1465">
        <v>43897</v>
      </c>
      <c r="L1840" s="1466"/>
      <c r="M1840" s="1467">
        <v>0</v>
      </c>
      <c r="N1840" s="1468">
        <v>1.5852383970908861</v>
      </c>
      <c r="O1840" s="1468"/>
    </row>
    <row r="1841" spans="11:15">
      <c r="K1841" s="1465">
        <v>43898</v>
      </c>
      <c r="L1841" s="1466"/>
      <c r="M1841" s="1467">
        <v>0</v>
      </c>
      <c r="N1841" s="1468">
        <v>1.5852383970908861</v>
      </c>
      <c r="O1841" s="1468"/>
    </row>
    <row r="1842" spans="11:15">
      <c r="K1842" s="1465">
        <v>43899</v>
      </c>
      <c r="L1842" s="1466" t="s">
        <v>2125</v>
      </c>
      <c r="M1842" s="1467">
        <v>1.6136999999999999E-2</v>
      </c>
      <c r="N1842" s="1468">
        <v>1.5854942070110247</v>
      </c>
      <c r="O1842" s="1468"/>
    </row>
    <row r="1843" spans="11:15">
      <c r="K1843" s="1465">
        <v>43900</v>
      </c>
      <c r="L1843" s="1466" t="s">
        <v>2125</v>
      </c>
      <c r="M1843" s="1467">
        <v>1.6136999999999999E-2</v>
      </c>
      <c r="N1843" s="1468">
        <v>1.5857500582112101</v>
      </c>
      <c r="O1843" s="1468"/>
    </row>
    <row r="1844" spans="11:15">
      <c r="K1844" s="1465">
        <v>43901</v>
      </c>
      <c r="L1844" s="1466" t="s">
        <v>2125</v>
      </c>
      <c r="M1844" s="1467">
        <v>1.6136999999999999E-2</v>
      </c>
      <c r="N1844" s="1468">
        <v>1.5860059506981037</v>
      </c>
      <c r="O1844" s="1468"/>
    </row>
    <row r="1845" spans="11:15">
      <c r="K1845" s="1465">
        <v>43902</v>
      </c>
      <c r="L1845" s="1466" t="s">
        <v>2125</v>
      </c>
      <c r="M1845" s="1467">
        <v>1.6136999999999999E-2</v>
      </c>
      <c r="N1845" s="1468">
        <v>1.586261884478368</v>
      </c>
      <c r="O1845" s="1468"/>
    </row>
    <row r="1846" spans="11:15">
      <c r="K1846" s="1465">
        <v>43903</v>
      </c>
      <c r="L1846" s="1466" t="s">
        <v>2125</v>
      </c>
      <c r="M1846" s="1467">
        <v>1.6136999999999999E-2</v>
      </c>
      <c r="N1846" s="1468">
        <v>1.5865178595586664</v>
      </c>
      <c r="O1846" s="1468"/>
    </row>
    <row r="1847" spans="11:15">
      <c r="K1847" s="1465">
        <v>43904</v>
      </c>
      <c r="L1847" s="1466"/>
      <c r="M1847" s="1467">
        <v>0</v>
      </c>
      <c r="N1847" s="1468">
        <v>1.5865178595586664</v>
      </c>
      <c r="O1847" s="1468"/>
    </row>
    <row r="1848" spans="11:15">
      <c r="K1848" s="1465">
        <v>43905</v>
      </c>
      <c r="L1848" s="1466"/>
      <c r="M1848" s="1467">
        <v>0</v>
      </c>
      <c r="N1848" s="1468">
        <v>1.5865178595586664</v>
      </c>
      <c r="O1848" s="1468"/>
    </row>
    <row r="1849" spans="11:15">
      <c r="K1849" s="1465">
        <v>43906</v>
      </c>
      <c r="L1849" s="1466" t="s">
        <v>2125</v>
      </c>
      <c r="M1849" s="1467">
        <v>1.6136999999999999E-2</v>
      </c>
      <c r="N1849" s="1468">
        <v>1.5867738759456635</v>
      </c>
      <c r="O1849" s="1468"/>
    </row>
    <row r="1850" spans="11:15">
      <c r="K1850" s="1465">
        <v>43907</v>
      </c>
      <c r="L1850" s="1466" t="s">
        <v>2125</v>
      </c>
      <c r="M1850" s="1467">
        <v>1.6136999999999999E-2</v>
      </c>
      <c r="N1850" s="1468">
        <v>1.587029933646025</v>
      </c>
      <c r="O1850" s="1468"/>
    </row>
    <row r="1851" spans="11:15">
      <c r="K1851" s="1465">
        <v>43908</v>
      </c>
      <c r="L1851" s="1466" t="s">
        <v>2125</v>
      </c>
      <c r="M1851" s="1467">
        <v>1.6136999999999999E-2</v>
      </c>
      <c r="N1851" s="1468">
        <v>1.5872860326664175</v>
      </c>
      <c r="O1851" s="1468"/>
    </row>
    <row r="1852" spans="11:15">
      <c r="K1852" s="1465">
        <v>43909</v>
      </c>
      <c r="L1852" s="1466" t="s">
        <v>2125</v>
      </c>
      <c r="M1852" s="1467">
        <v>1.4227E-2</v>
      </c>
      <c r="N1852" s="1468">
        <v>1.587511855850285</v>
      </c>
      <c r="O1852" s="1468"/>
    </row>
    <row r="1853" spans="11:15">
      <c r="K1853" s="1465">
        <v>43910</v>
      </c>
      <c r="L1853" s="1466" t="s">
        <v>2125</v>
      </c>
      <c r="M1853" s="1467">
        <v>1.4227E-2</v>
      </c>
      <c r="N1853" s="1468">
        <v>1.5877377111620168</v>
      </c>
      <c r="O1853" s="1468"/>
    </row>
    <row r="1854" spans="11:15">
      <c r="K1854" s="1465">
        <v>43911</v>
      </c>
      <c r="L1854" s="1466"/>
      <c r="M1854" s="1467">
        <v>0</v>
      </c>
      <c r="N1854" s="1468">
        <v>1.5877377111620168</v>
      </c>
      <c r="O1854" s="1468"/>
    </row>
    <row r="1855" spans="11:15">
      <c r="K1855" s="1465">
        <v>43912</v>
      </c>
      <c r="L1855" s="1466"/>
      <c r="M1855" s="1467">
        <v>0</v>
      </c>
      <c r="N1855" s="1468">
        <v>1.5877377111620168</v>
      </c>
      <c r="O1855" s="1468"/>
    </row>
    <row r="1856" spans="11:15">
      <c r="K1856" s="1465">
        <v>43913</v>
      </c>
      <c r="L1856" s="1466" t="s">
        <v>2125</v>
      </c>
      <c r="M1856" s="1467">
        <v>1.4227E-2</v>
      </c>
      <c r="N1856" s="1468">
        <v>1.5879635986061837</v>
      </c>
      <c r="O1856" s="1468"/>
    </row>
    <row r="1857" spans="11:15">
      <c r="K1857" s="1465">
        <v>43914</v>
      </c>
      <c r="L1857" s="1466" t="s">
        <v>2125</v>
      </c>
      <c r="M1857" s="1467">
        <v>1.4227E-2</v>
      </c>
      <c r="N1857" s="1468">
        <v>1.5881895181873575</v>
      </c>
      <c r="O1857" s="1468"/>
    </row>
    <row r="1858" spans="11:15">
      <c r="K1858" s="1465">
        <v>43915</v>
      </c>
      <c r="L1858" s="1466" t="s">
        <v>2125</v>
      </c>
      <c r="M1858" s="1467">
        <v>1.4227E-2</v>
      </c>
      <c r="N1858" s="1468">
        <v>1.5884154699101101</v>
      </c>
      <c r="O1858" s="1468"/>
    </row>
    <row r="1859" spans="11:15">
      <c r="K1859" s="1465">
        <v>43916</v>
      </c>
      <c r="L1859" s="1466" t="s">
        <v>2125</v>
      </c>
      <c r="M1859" s="1467">
        <v>1.4227E-2</v>
      </c>
      <c r="N1859" s="1468">
        <v>1.5886414537790141</v>
      </c>
      <c r="O1859" s="1468"/>
    </row>
    <row r="1860" spans="11:15">
      <c r="K1860" s="1465">
        <v>43917</v>
      </c>
      <c r="L1860" s="1466" t="s">
        <v>2125</v>
      </c>
      <c r="M1860" s="1467">
        <v>1.4227E-2</v>
      </c>
      <c r="N1860" s="1468">
        <v>1.5888674697986434</v>
      </c>
      <c r="O1860" s="1468"/>
    </row>
    <row r="1861" spans="11:15">
      <c r="K1861" s="1465">
        <v>43918</v>
      </c>
      <c r="L1861" s="1466"/>
      <c r="M1861" s="1467">
        <v>0</v>
      </c>
      <c r="N1861" s="1468">
        <v>1.5888674697986434</v>
      </c>
      <c r="O1861" s="1468"/>
    </row>
    <row r="1862" spans="11:15">
      <c r="K1862" s="1465">
        <v>43919</v>
      </c>
      <c r="L1862" s="1466"/>
      <c r="M1862" s="1467">
        <v>0</v>
      </c>
      <c r="N1862" s="1468">
        <v>1.5888674697986434</v>
      </c>
      <c r="O1862" s="1468"/>
    </row>
    <row r="1863" spans="11:15">
      <c r="K1863" s="1465">
        <v>43920</v>
      </c>
      <c r="L1863" s="1466" t="s">
        <v>2125</v>
      </c>
      <c r="M1863" s="1467">
        <v>1.4227E-2</v>
      </c>
      <c r="N1863" s="1468">
        <v>1.5890935179735717</v>
      </c>
      <c r="O1863" s="1468"/>
    </row>
    <row r="1864" spans="11:15">
      <c r="K1864" s="1465">
        <v>43921</v>
      </c>
      <c r="L1864" s="1466" t="s">
        <v>2125</v>
      </c>
      <c r="M1864" s="1467">
        <v>1.4227E-2</v>
      </c>
      <c r="N1864" s="1468">
        <v>1.5893195983083739</v>
      </c>
      <c r="O1864" s="1468"/>
    </row>
    <row r="1865" spans="11:15">
      <c r="K1865" s="1465">
        <v>43922</v>
      </c>
      <c r="L1865" s="1466" t="s">
        <v>2125</v>
      </c>
      <c r="M1865" s="1467">
        <v>1.4227E-2</v>
      </c>
      <c r="N1865" s="1468">
        <v>1.5895457108076252</v>
      </c>
      <c r="O1865" s="1468"/>
    </row>
    <row r="1866" spans="11:15">
      <c r="K1866" s="1465">
        <v>43923</v>
      </c>
      <c r="L1866" s="1466" t="s">
        <v>2125</v>
      </c>
      <c r="M1866" s="1467">
        <v>1.4227E-2</v>
      </c>
      <c r="N1866" s="1468">
        <v>1.5897718554759017</v>
      </c>
      <c r="O1866" s="1468"/>
    </row>
    <row r="1867" spans="11:15">
      <c r="K1867" s="1465">
        <v>43924</v>
      </c>
      <c r="L1867" s="1466" t="s">
        <v>2125</v>
      </c>
      <c r="M1867" s="1467">
        <v>1.4227E-2</v>
      </c>
      <c r="N1867" s="1468">
        <v>1.5899980323177803</v>
      </c>
      <c r="O1867" s="1468"/>
    </row>
    <row r="1868" spans="11:15">
      <c r="K1868" s="1465">
        <v>43925</v>
      </c>
      <c r="L1868" s="1466"/>
      <c r="M1868" s="1467">
        <v>0</v>
      </c>
      <c r="N1868" s="1468">
        <v>1.5899980323177803</v>
      </c>
      <c r="O1868" s="1468"/>
    </row>
    <row r="1869" spans="11:15">
      <c r="K1869" s="1465">
        <v>43926</v>
      </c>
      <c r="L1869" s="1466"/>
      <c r="M1869" s="1467">
        <v>0</v>
      </c>
      <c r="N1869" s="1468">
        <v>1.5899980323177803</v>
      </c>
      <c r="O1869" s="1468"/>
    </row>
    <row r="1870" spans="11:15">
      <c r="K1870" s="1465">
        <v>43927</v>
      </c>
      <c r="L1870" s="1466" t="s">
        <v>2125</v>
      </c>
      <c r="M1870" s="1467">
        <v>1.4227E-2</v>
      </c>
      <c r="N1870" s="1468">
        <v>1.590224241337838</v>
      </c>
      <c r="O1870" s="1468"/>
    </row>
    <row r="1871" spans="11:15">
      <c r="K1871" s="1465">
        <v>43928</v>
      </c>
      <c r="L1871" s="1466" t="s">
        <v>2125</v>
      </c>
      <c r="M1871" s="1467">
        <v>1.4227E-2</v>
      </c>
      <c r="N1871" s="1468">
        <v>1.5904504825406531</v>
      </c>
      <c r="O1871" s="1468"/>
    </row>
    <row r="1872" spans="11:15">
      <c r="K1872" s="1465">
        <v>43929</v>
      </c>
      <c r="L1872" s="1466" t="s">
        <v>2125</v>
      </c>
      <c r="M1872" s="1467">
        <v>1.4227E-2</v>
      </c>
      <c r="N1872" s="1468">
        <v>1.5906767559308042</v>
      </c>
      <c r="O1872" s="1468"/>
    </row>
    <row r="1873" spans="11:15">
      <c r="K1873" s="1465">
        <v>43930</v>
      </c>
      <c r="L1873" s="1466" t="s">
        <v>2125</v>
      </c>
      <c r="M1873" s="1467">
        <v>1.4227E-2</v>
      </c>
      <c r="N1873" s="1468">
        <v>1.5909030615128705</v>
      </c>
      <c r="O1873" s="1468"/>
    </row>
    <row r="1874" spans="11:15">
      <c r="K1874" s="1465">
        <v>43931</v>
      </c>
      <c r="L1874" s="1466"/>
      <c r="M1874" s="1467">
        <v>0</v>
      </c>
      <c r="N1874" s="1468">
        <v>1.5909030615128705</v>
      </c>
      <c r="O1874" s="1468"/>
    </row>
    <row r="1875" spans="11:15">
      <c r="K1875" s="1465">
        <v>43932</v>
      </c>
      <c r="L1875" s="1466"/>
      <c r="M1875" s="1467">
        <v>0</v>
      </c>
      <c r="N1875" s="1468">
        <v>1.5909030615128705</v>
      </c>
      <c r="O1875" s="1468"/>
    </row>
    <row r="1876" spans="11:15">
      <c r="K1876" s="1465">
        <v>43933</v>
      </c>
      <c r="L1876" s="1466"/>
      <c r="M1876" s="1467">
        <v>0</v>
      </c>
      <c r="N1876" s="1468">
        <v>1.5909030615128705</v>
      </c>
      <c r="O1876" s="1468"/>
    </row>
    <row r="1877" spans="11:15">
      <c r="K1877" s="1465">
        <v>43934</v>
      </c>
      <c r="L1877" s="1466" t="s">
        <v>2125</v>
      </c>
      <c r="M1877" s="1467">
        <v>1.4227E-2</v>
      </c>
      <c r="N1877" s="1468">
        <v>1.5911293992914319</v>
      </c>
      <c r="O1877" s="1468"/>
    </row>
    <row r="1878" spans="11:15">
      <c r="K1878" s="1465">
        <v>43935</v>
      </c>
      <c r="L1878" s="1466" t="s">
        <v>2125</v>
      </c>
      <c r="M1878" s="1467">
        <v>1.4227E-2</v>
      </c>
      <c r="N1878" s="1468">
        <v>1.5913557692710691</v>
      </c>
      <c r="O1878" s="1468"/>
    </row>
    <row r="1879" spans="11:15">
      <c r="K1879" s="1465">
        <v>43936</v>
      </c>
      <c r="L1879" s="1466" t="s">
        <v>2125</v>
      </c>
      <c r="M1879" s="1467">
        <v>1.4227E-2</v>
      </c>
      <c r="N1879" s="1468">
        <v>1.5915821714563634</v>
      </c>
      <c r="O1879" s="1468"/>
    </row>
    <row r="1880" spans="11:15">
      <c r="K1880" s="1465">
        <v>43937</v>
      </c>
      <c r="L1880" s="1466" t="s">
        <v>2125</v>
      </c>
      <c r="M1880" s="1467">
        <v>1.4227E-2</v>
      </c>
      <c r="N1880" s="1468">
        <v>1.5918086058518965</v>
      </c>
      <c r="O1880" s="1468"/>
    </row>
    <row r="1881" spans="11:15">
      <c r="K1881" s="1465">
        <v>43938</v>
      </c>
      <c r="L1881" s="1466" t="s">
        <v>2125</v>
      </c>
      <c r="M1881" s="1467">
        <v>1.4227E-2</v>
      </c>
      <c r="N1881" s="1468">
        <v>1.5920350724622512</v>
      </c>
      <c r="O1881" s="1468"/>
    </row>
    <row r="1882" spans="11:15">
      <c r="K1882" s="1465">
        <v>43939</v>
      </c>
      <c r="L1882" s="1466"/>
      <c r="M1882" s="1467">
        <v>0</v>
      </c>
      <c r="N1882" s="1468">
        <v>1.5920350724622512</v>
      </c>
      <c r="O1882" s="1468"/>
    </row>
    <row r="1883" spans="11:15">
      <c r="K1883" s="1465">
        <v>43940</v>
      </c>
      <c r="L1883" s="1466"/>
      <c r="M1883" s="1467">
        <v>0</v>
      </c>
      <c r="N1883" s="1468">
        <v>1.5920350724622512</v>
      </c>
      <c r="O1883" s="1468"/>
    </row>
    <row r="1884" spans="11:15">
      <c r="K1884" s="1465">
        <v>43941</v>
      </c>
      <c r="L1884" s="1466" t="s">
        <v>2125</v>
      </c>
      <c r="M1884" s="1467">
        <v>1.4227E-2</v>
      </c>
      <c r="N1884" s="1468">
        <v>1.5922615712920103</v>
      </c>
      <c r="O1884" s="1468"/>
    </row>
    <row r="1885" spans="11:15">
      <c r="K1885" s="1465">
        <v>43942</v>
      </c>
      <c r="L1885" s="1466"/>
      <c r="M1885" s="1467">
        <v>0</v>
      </c>
      <c r="N1885" s="1468">
        <v>1.5922615712920103</v>
      </c>
      <c r="O1885" s="1468"/>
    </row>
    <row r="1886" spans="11:15">
      <c r="K1886" s="1465">
        <v>43943</v>
      </c>
      <c r="L1886" s="1466" t="s">
        <v>2125</v>
      </c>
      <c r="M1886" s="1467">
        <v>1.4227E-2</v>
      </c>
      <c r="N1886" s="1468">
        <v>1.592488102345758</v>
      </c>
      <c r="O1886" s="1468"/>
    </row>
    <row r="1887" spans="11:15">
      <c r="K1887" s="1465">
        <v>43944</v>
      </c>
      <c r="L1887" s="1466" t="s">
        <v>2125</v>
      </c>
      <c r="M1887" s="1467">
        <v>1.4227E-2</v>
      </c>
      <c r="N1887" s="1468">
        <v>1.5927146656280786</v>
      </c>
      <c r="O1887" s="1468"/>
    </row>
    <row r="1888" spans="11:15">
      <c r="K1888" s="1465">
        <v>43945</v>
      </c>
      <c r="L1888" s="1466" t="s">
        <v>2125</v>
      </c>
      <c r="M1888" s="1467">
        <v>1.4227E-2</v>
      </c>
      <c r="N1888" s="1468">
        <v>1.5929412611435576</v>
      </c>
      <c r="O1888" s="1468"/>
    </row>
    <row r="1889" spans="11:15">
      <c r="K1889" s="1465">
        <v>43946</v>
      </c>
      <c r="L1889" s="1466"/>
      <c r="M1889" s="1467">
        <v>0</v>
      </c>
      <c r="N1889" s="1468">
        <v>1.5929412611435576</v>
      </c>
      <c r="O1889" s="1468"/>
    </row>
    <row r="1890" spans="11:15">
      <c r="K1890" s="1465">
        <v>43947</v>
      </c>
      <c r="L1890" s="1466"/>
      <c r="M1890" s="1467">
        <v>0</v>
      </c>
      <c r="N1890" s="1468">
        <v>1.5929412611435576</v>
      </c>
      <c r="O1890" s="1468"/>
    </row>
    <row r="1891" spans="11:15">
      <c r="K1891" s="1465">
        <v>43948</v>
      </c>
      <c r="L1891" s="1466" t="s">
        <v>2125</v>
      </c>
      <c r="M1891" s="1467">
        <v>1.4227E-2</v>
      </c>
      <c r="N1891" s="1468">
        <v>1.5931678888967804</v>
      </c>
      <c r="O1891" s="1468"/>
    </row>
    <row r="1892" spans="11:15">
      <c r="K1892" s="1465">
        <v>43949</v>
      </c>
      <c r="L1892" s="1466" t="s">
        <v>2125</v>
      </c>
      <c r="M1892" s="1467">
        <v>1.4227E-2</v>
      </c>
      <c r="N1892" s="1468">
        <v>1.5933945488923338</v>
      </c>
      <c r="O1892" s="1468"/>
    </row>
    <row r="1893" spans="11:15">
      <c r="K1893" s="1465">
        <v>43950</v>
      </c>
      <c r="L1893" s="1466" t="s">
        <v>2125</v>
      </c>
      <c r="M1893" s="1467">
        <v>1.4227E-2</v>
      </c>
      <c r="N1893" s="1468">
        <v>1.5936212411348047</v>
      </c>
      <c r="O1893" s="1468"/>
    </row>
    <row r="1894" spans="11:15">
      <c r="K1894" s="1465">
        <v>43951</v>
      </c>
      <c r="L1894" s="1466" t="s">
        <v>2125</v>
      </c>
      <c r="M1894" s="1467">
        <v>1.4227E-2</v>
      </c>
      <c r="N1894" s="1468">
        <v>1.5938479656287809</v>
      </c>
      <c r="O1894" s="1468"/>
    </row>
    <row r="1895" spans="11:15">
      <c r="K1895" s="1465">
        <v>43952</v>
      </c>
      <c r="L1895" s="1466"/>
      <c r="M1895" s="1467">
        <v>0</v>
      </c>
      <c r="N1895" s="1468">
        <v>1.5938479656287809</v>
      </c>
      <c r="O1895" s="1468"/>
    </row>
    <row r="1896" spans="11:15">
      <c r="K1896" s="1465">
        <v>43953</v>
      </c>
      <c r="L1896" s="1466"/>
      <c r="M1896" s="1467">
        <v>0</v>
      </c>
      <c r="N1896" s="1468">
        <v>1.5938479656287809</v>
      </c>
      <c r="O1896" s="1468"/>
    </row>
    <row r="1897" spans="11:15">
      <c r="K1897" s="1465">
        <v>43954</v>
      </c>
      <c r="L1897" s="1466"/>
      <c r="M1897" s="1467">
        <v>0</v>
      </c>
      <c r="N1897" s="1468">
        <v>1.5938479656287809</v>
      </c>
      <c r="O1897" s="1468"/>
    </row>
    <row r="1898" spans="11:15">
      <c r="K1898" s="1465">
        <v>43955</v>
      </c>
      <c r="L1898" s="1466" t="s">
        <v>2125</v>
      </c>
      <c r="M1898" s="1467">
        <v>1.4227E-2</v>
      </c>
      <c r="N1898" s="1468">
        <v>1.594074722378851</v>
      </c>
      <c r="O1898" s="1468"/>
    </row>
    <row r="1899" spans="11:15">
      <c r="K1899" s="1465">
        <v>43956</v>
      </c>
      <c r="L1899" s="1466" t="s">
        <v>2125</v>
      </c>
      <c r="M1899" s="1467">
        <v>1.4227E-2</v>
      </c>
      <c r="N1899" s="1468">
        <v>1.5943015113896037</v>
      </c>
      <c r="O1899" s="1468"/>
    </row>
    <row r="1900" spans="11:15">
      <c r="K1900" s="1465">
        <v>43957</v>
      </c>
      <c r="L1900" s="1466" t="s">
        <v>2125</v>
      </c>
      <c r="M1900" s="1467">
        <v>1.4227E-2</v>
      </c>
      <c r="N1900" s="1468">
        <v>1.5945283326656292</v>
      </c>
      <c r="O1900" s="1468"/>
    </row>
    <row r="1901" spans="11:15">
      <c r="K1901" s="1465">
        <v>43958</v>
      </c>
      <c r="L1901" s="1466" t="s">
        <v>2125</v>
      </c>
      <c r="M1901" s="1467">
        <v>1.1344999999999999E-2</v>
      </c>
      <c r="N1901" s="1468">
        <v>1.59470923190497</v>
      </c>
      <c r="O1901" s="1468"/>
    </row>
    <row r="1902" spans="11:15">
      <c r="K1902" s="1465">
        <v>43959</v>
      </c>
      <c r="L1902" s="1466" t="s">
        <v>2125</v>
      </c>
      <c r="M1902" s="1467">
        <v>1.1344999999999999E-2</v>
      </c>
      <c r="N1902" s="1468">
        <v>1.5948901516673295</v>
      </c>
      <c r="O1902" s="1468"/>
    </row>
    <row r="1903" spans="11:15">
      <c r="K1903" s="1465">
        <v>43960</v>
      </c>
      <c r="L1903" s="1466"/>
      <c r="M1903" s="1467">
        <v>0</v>
      </c>
      <c r="N1903" s="1468">
        <v>1.5948901516673295</v>
      </c>
      <c r="O1903" s="1468"/>
    </row>
    <row r="1904" spans="11:15">
      <c r="K1904" s="1465">
        <v>43961</v>
      </c>
      <c r="L1904" s="1466"/>
      <c r="M1904" s="1467">
        <v>0</v>
      </c>
      <c r="N1904" s="1468">
        <v>1.5948901516673295</v>
      </c>
      <c r="O1904" s="1468"/>
    </row>
    <row r="1905" spans="11:15">
      <c r="K1905" s="1465">
        <v>43962</v>
      </c>
      <c r="L1905" s="1466" t="s">
        <v>2125</v>
      </c>
      <c r="M1905" s="1467">
        <v>1.1344999999999999E-2</v>
      </c>
      <c r="N1905" s="1468">
        <v>1.5950710919550362</v>
      </c>
      <c r="O1905" s="1468"/>
    </row>
    <row r="1906" spans="11:15">
      <c r="K1906" s="1465">
        <v>43963</v>
      </c>
      <c r="L1906" s="1466" t="s">
        <v>2125</v>
      </c>
      <c r="M1906" s="1467">
        <v>1.1344999999999999E-2</v>
      </c>
      <c r="N1906" s="1468">
        <v>1.5952520527704184</v>
      </c>
      <c r="O1906" s="1468"/>
    </row>
    <row r="1907" spans="11:15">
      <c r="K1907" s="1465">
        <v>43964</v>
      </c>
      <c r="L1907" s="1466" t="s">
        <v>2125</v>
      </c>
      <c r="M1907" s="1467">
        <v>1.1344999999999999E-2</v>
      </c>
      <c r="N1907" s="1468">
        <v>1.5954330341158052</v>
      </c>
      <c r="O1907" s="1468"/>
    </row>
    <row r="1908" spans="11:15">
      <c r="K1908" s="1465">
        <v>43965</v>
      </c>
      <c r="L1908" s="1466" t="s">
        <v>2125</v>
      </c>
      <c r="M1908" s="1467">
        <v>1.1344999999999999E-2</v>
      </c>
      <c r="N1908" s="1468">
        <v>1.5956140359935256</v>
      </c>
      <c r="O1908" s="1468"/>
    </row>
    <row r="1909" spans="11:15">
      <c r="K1909" s="1465">
        <v>43966</v>
      </c>
      <c r="L1909" s="1466" t="s">
        <v>2125</v>
      </c>
      <c r="M1909" s="1467">
        <v>1.1344999999999999E-2</v>
      </c>
      <c r="N1909" s="1468">
        <v>1.5957950584059091</v>
      </c>
      <c r="O1909" s="1468"/>
    </row>
    <row r="1910" spans="11:15">
      <c r="K1910" s="1465">
        <v>43967</v>
      </c>
      <c r="L1910" s="1466"/>
      <c r="M1910" s="1467">
        <v>0</v>
      </c>
      <c r="N1910" s="1468">
        <v>1.5957950584059091</v>
      </c>
      <c r="O1910" s="1468"/>
    </row>
    <row r="1911" spans="11:15">
      <c r="K1911" s="1465">
        <v>43968</v>
      </c>
      <c r="L1911" s="1466"/>
      <c r="M1911" s="1467">
        <v>0</v>
      </c>
      <c r="N1911" s="1468">
        <v>1.5957950584059091</v>
      </c>
      <c r="O1911" s="1468"/>
    </row>
    <row r="1912" spans="11:15">
      <c r="K1912" s="1465">
        <v>43969</v>
      </c>
      <c r="L1912" s="1466" t="s">
        <v>2125</v>
      </c>
      <c r="M1912" s="1467">
        <v>1.1344999999999999E-2</v>
      </c>
      <c r="N1912" s="1468">
        <v>1.5959761013552851</v>
      </c>
      <c r="O1912" s="1468"/>
    </row>
    <row r="1913" spans="11:15">
      <c r="K1913" s="1465">
        <v>43970</v>
      </c>
      <c r="L1913" s="1466" t="s">
        <v>2125</v>
      </c>
      <c r="M1913" s="1467">
        <v>1.1344999999999999E-2</v>
      </c>
      <c r="N1913" s="1468">
        <v>1.5961571648439838</v>
      </c>
      <c r="O1913" s="1468"/>
    </row>
    <row r="1914" spans="11:15">
      <c r="K1914" s="1465">
        <v>43971</v>
      </c>
      <c r="L1914" s="1466" t="s">
        <v>2125</v>
      </c>
      <c r="M1914" s="1467">
        <v>1.1344999999999999E-2</v>
      </c>
      <c r="N1914" s="1468">
        <v>1.5963382488743354</v>
      </c>
      <c r="O1914" s="1468"/>
    </row>
    <row r="1915" spans="11:15">
      <c r="K1915" s="1465">
        <v>43972</v>
      </c>
      <c r="L1915" s="1466" t="s">
        <v>2125</v>
      </c>
      <c r="M1915" s="1467">
        <v>1.1344999999999999E-2</v>
      </c>
      <c r="N1915" s="1468">
        <v>1.5965193534486701</v>
      </c>
      <c r="O1915" s="1468"/>
    </row>
    <row r="1916" spans="11:15">
      <c r="K1916" s="1465">
        <v>43973</v>
      </c>
      <c r="L1916" s="1466" t="s">
        <v>2125</v>
      </c>
      <c r="M1916" s="1467">
        <v>1.1344999999999999E-2</v>
      </c>
      <c r="N1916" s="1468">
        <v>1.5967004785693188</v>
      </c>
      <c r="O1916" s="1468"/>
    </row>
    <row r="1917" spans="11:15">
      <c r="K1917" s="1465">
        <v>43974</v>
      </c>
      <c r="L1917" s="1466"/>
      <c r="M1917" s="1467">
        <v>0</v>
      </c>
      <c r="N1917" s="1468">
        <v>1.5967004785693188</v>
      </c>
      <c r="O1917" s="1468"/>
    </row>
    <row r="1918" spans="11:15">
      <c r="K1918" s="1465">
        <v>43975</v>
      </c>
      <c r="L1918" s="1466"/>
      <c r="M1918" s="1467">
        <v>0</v>
      </c>
      <c r="N1918" s="1468">
        <v>1.5967004785693188</v>
      </c>
      <c r="O1918" s="1468"/>
    </row>
    <row r="1919" spans="11:15">
      <c r="K1919" s="1465">
        <v>43976</v>
      </c>
      <c r="L1919" s="1466" t="s">
        <v>2125</v>
      </c>
      <c r="M1919" s="1467">
        <v>1.1344999999999999E-2</v>
      </c>
      <c r="N1919" s="1468">
        <v>1.5968816242386126</v>
      </c>
      <c r="O1919" s="1468"/>
    </row>
    <row r="1920" spans="11:15">
      <c r="K1920" s="1465">
        <v>43977</v>
      </c>
      <c r="L1920" s="1466" t="s">
        <v>2125</v>
      </c>
      <c r="M1920" s="1467">
        <v>1.1344999999999999E-2</v>
      </c>
      <c r="N1920" s="1468">
        <v>1.5970627904588823</v>
      </c>
      <c r="O1920" s="1468"/>
    </row>
    <row r="1921" spans="11:15">
      <c r="K1921" s="1465">
        <v>43978</v>
      </c>
      <c r="L1921" s="1466" t="s">
        <v>2125</v>
      </c>
      <c r="M1921" s="1467">
        <v>1.1344999999999999E-2</v>
      </c>
      <c r="N1921" s="1468">
        <v>1.5972439772324598</v>
      </c>
      <c r="O1921" s="1468"/>
    </row>
    <row r="1922" spans="11:15">
      <c r="K1922" s="1465">
        <v>43979</v>
      </c>
      <c r="L1922" s="1466" t="s">
        <v>2125</v>
      </c>
      <c r="M1922" s="1467">
        <v>1.1344999999999999E-2</v>
      </c>
      <c r="N1922" s="1468">
        <v>1.5974251845616767</v>
      </c>
      <c r="O1922" s="1468"/>
    </row>
    <row r="1923" spans="11:15">
      <c r="K1923" s="1465">
        <v>43980</v>
      </c>
      <c r="L1923" s="1466" t="s">
        <v>2125</v>
      </c>
      <c r="M1923" s="1467">
        <v>1.1344999999999999E-2</v>
      </c>
      <c r="N1923" s="1468">
        <v>1.5976064124488651</v>
      </c>
      <c r="O1923" s="1468"/>
    </row>
    <row r="1924" spans="11:15">
      <c r="K1924" s="1465">
        <v>43981</v>
      </c>
      <c r="L1924" s="1466"/>
      <c r="M1924" s="1467">
        <v>0</v>
      </c>
      <c r="N1924" s="1468">
        <v>1.5976064124488651</v>
      </c>
      <c r="O1924" s="1468"/>
    </row>
    <row r="1925" spans="11:15">
      <c r="K1925" s="1465">
        <v>43982</v>
      </c>
      <c r="L1925" s="1466"/>
      <c r="M1925" s="1467">
        <v>0</v>
      </c>
      <c r="N1925" s="1468">
        <v>1.5976064124488651</v>
      </c>
      <c r="O1925" s="1468"/>
    </row>
    <row r="1926" spans="11:15">
      <c r="K1926" s="1465">
        <v>43983</v>
      </c>
      <c r="L1926" s="1466" t="s">
        <v>2125</v>
      </c>
      <c r="M1926" s="1467">
        <v>1.1344999999999999E-2</v>
      </c>
      <c r="N1926" s="1468">
        <v>1.5977876608963575</v>
      </c>
      <c r="O1926" s="1468"/>
    </row>
    <row r="1927" spans="11:15">
      <c r="K1927" s="1465">
        <v>43984</v>
      </c>
      <c r="L1927" s="1466" t="s">
        <v>2125</v>
      </c>
      <c r="M1927" s="1467">
        <v>1.1344999999999999E-2</v>
      </c>
      <c r="N1927" s="1468">
        <v>1.5979689299064861</v>
      </c>
      <c r="O1927" s="1468"/>
    </row>
    <row r="1928" spans="11:15">
      <c r="K1928" s="1465">
        <v>43985</v>
      </c>
      <c r="L1928" s="1466" t="s">
        <v>2125</v>
      </c>
      <c r="M1928" s="1467">
        <v>1.1344999999999999E-2</v>
      </c>
      <c r="N1928" s="1468">
        <v>1.598150219481584</v>
      </c>
      <c r="O1928" s="1468"/>
    </row>
    <row r="1929" spans="11:15">
      <c r="K1929" s="1465">
        <v>43986</v>
      </c>
      <c r="L1929" s="1466" t="s">
        <v>2125</v>
      </c>
      <c r="M1929" s="1467">
        <v>1.1344999999999999E-2</v>
      </c>
      <c r="N1929" s="1468">
        <v>1.5983315296239842</v>
      </c>
      <c r="O1929" s="1468"/>
    </row>
    <row r="1930" spans="11:15">
      <c r="K1930" s="1465">
        <v>43987</v>
      </c>
      <c r="L1930" s="1466" t="s">
        <v>2125</v>
      </c>
      <c r="M1930" s="1467">
        <v>1.1344999999999999E-2</v>
      </c>
      <c r="N1930" s="1468">
        <v>1.5985128603360199</v>
      </c>
      <c r="O1930" s="1468"/>
    </row>
    <row r="1931" spans="11:15">
      <c r="K1931" s="1465">
        <v>43988</v>
      </c>
      <c r="L1931" s="1466"/>
      <c r="M1931" s="1467">
        <v>0</v>
      </c>
      <c r="N1931" s="1468">
        <v>1.5985128603360199</v>
      </c>
      <c r="O1931" s="1468"/>
    </row>
    <row r="1932" spans="11:15">
      <c r="K1932" s="1465">
        <v>43989</v>
      </c>
      <c r="L1932" s="1466"/>
      <c r="M1932" s="1467">
        <v>0</v>
      </c>
      <c r="N1932" s="1468">
        <v>1.5985128603360199</v>
      </c>
      <c r="O1932" s="1468"/>
    </row>
    <row r="1933" spans="11:15">
      <c r="K1933" s="1465">
        <v>43990</v>
      </c>
      <c r="L1933" s="1466" t="s">
        <v>2125</v>
      </c>
      <c r="M1933" s="1467">
        <v>1.1344999999999999E-2</v>
      </c>
      <c r="N1933" s="1468">
        <v>1.5986942116200249</v>
      </c>
      <c r="O1933" s="1468"/>
    </row>
    <row r="1934" spans="11:15">
      <c r="K1934" s="1465">
        <v>43991</v>
      </c>
      <c r="L1934" s="1466" t="s">
        <v>2125</v>
      </c>
      <c r="M1934" s="1467">
        <v>1.1344999999999999E-2</v>
      </c>
      <c r="N1934" s="1468">
        <v>1.598875583478333</v>
      </c>
      <c r="O1934" s="1468"/>
    </row>
    <row r="1935" spans="11:15">
      <c r="K1935" s="1465">
        <v>43992</v>
      </c>
      <c r="L1935" s="1466" t="s">
        <v>2125</v>
      </c>
      <c r="M1935" s="1467">
        <v>1.1344999999999999E-2</v>
      </c>
      <c r="N1935" s="1468">
        <v>1.5990569759132787</v>
      </c>
      <c r="O1935" s="1468"/>
    </row>
    <row r="1936" spans="11:15">
      <c r="K1936" s="1465">
        <v>43993</v>
      </c>
      <c r="L1936" s="1466"/>
      <c r="M1936" s="1467">
        <v>0</v>
      </c>
      <c r="N1936" s="1468">
        <v>1.5990569759132787</v>
      </c>
      <c r="O1936" s="1468"/>
    </row>
    <row r="1937" spans="11:15">
      <c r="K1937" s="1465">
        <v>43994</v>
      </c>
      <c r="L1937" s="1466" t="s">
        <v>2125</v>
      </c>
      <c r="M1937" s="1467">
        <v>1.1344999999999999E-2</v>
      </c>
      <c r="N1937" s="1468">
        <v>1.5992383889271959</v>
      </c>
      <c r="O1937" s="1468"/>
    </row>
    <row r="1938" spans="11:15">
      <c r="K1938" s="1465">
        <v>43995</v>
      </c>
      <c r="L1938" s="1466"/>
      <c r="M1938" s="1467">
        <v>0</v>
      </c>
      <c r="N1938" s="1468">
        <v>1.5992383889271959</v>
      </c>
      <c r="O1938" s="1468"/>
    </row>
    <row r="1939" spans="11:15">
      <c r="K1939" s="1465">
        <v>43996</v>
      </c>
      <c r="L1939" s="1466"/>
      <c r="M1939" s="1467">
        <v>0</v>
      </c>
      <c r="N1939" s="1468">
        <v>1.5992383889271959</v>
      </c>
      <c r="O1939" s="1468"/>
    </row>
    <row r="1940" spans="11:15">
      <c r="K1940" s="1465">
        <v>43997</v>
      </c>
      <c r="L1940" s="1466" t="s">
        <v>2125</v>
      </c>
      <c r="M1940" s="1467">
        <v>1.1344999999999999E-2</v>
      </c>
      <c r="N1940" s="1468">
        <v>1.5994198225224197</v>
      </c>
      <c r="O1940" s="1468"/>
    </row>
    <row r="1941" spans="11:15">
      <c r="K1941" s="1465">
        <v>43998</v>
      </c>
      <c r="L1941" s="1466" t="s">
        <v>2125</v>
      </c>
      <c r="M1941" s="1467">
        <v>1.1344999999999999E-2</v>
      </c>
      <c r="N1941" s="1468">
        <v>1.5996012767012848</v>
      </c>
      <c r="O1941" s="1468"/>
    </row>
    <row r="1942" spans="11:15">
      <c r="K1942" s="1465">
        <v>43999</v>
      </c>
      <c r="L1942" s="1466" t="s">
        <v>2125</v>
      </c>
      <c r="M1942" s="1467">
        <v>1.1344999999999999E-2</v>
      </c>
      <c r="N1942" s="1468">
        <v>1.5997827514661265</v>
      </c>
      <c r="O1942" s="1468"/>
    </row>
    <row r="1943" spans="11:15">
      <c r="K1943" s="1465">
        <v>44000</v>
      </c>
      <c r="L1943" s="1466" t="s">
        <v>2125</v>
      </c>
      <c r="M1943" s="1467">
        <v>8.4419999999999999E-3</v>
      </c>
      <c r="N1943" s="1468">
        <v>1.5999178051260055</v>
      </c>
      <c r="O1943" s="1468"/>
    </row>
    <row r="1944" spans="11:15">
      <c r="K1944" s="1465">
        <v>44001</v>
      </c>
      <c r="L1944" s="1466" t="s">
        <v>2125</v>
      </c>
      <c r="M1944" s="1467">
        <v>8.4419999999999999E-3</v>
      </c>
      <c r="N1944" s="1468">
        <v>1.6000528701871144</v>
      </c>
      <c r="O1944" s="1468"/>
    </row>
    <row r="1945" spans="11:15">
      <c r="K1945" s="1465">
        <v>44002</v>
      </c>
      <c r="L1945" s="1466"/>
      <c r="M1945" s="1467">
        <v>0</v>
      </c>
      <c r="N1945" s="1468">
        <v>1.6000528701871144</v>
      </c>
      <c r="O1945" s="1468"/>
    </row>
    <row r="1946" spans="11:15">
      <c r="K1946" s="1465">
        <v>44003</v>
      </c>
      <c r="L1946" s="1466"/>
      <c r="M1946" s="1467">
        <v>0</v>
      </c>
      <c r="N1946" s="1468">
        <v>1.6000528701871144</v>
      </c>
      <c r="O1946" s="1468"/>
    </row>
    <row r="1947" spans="11:15">
      <c r="K1947" s="1465">
        <v>44004</v>
      </c>
      <c r="L1947" s="1466" t="s">
        <v>2125</v>
      </c>
      <c r="M1947" s="1467">
        <v>8.4419999999999999E-3</v>
      </c>
      <c r="N1947" s="1468">
        <v>1.6001879466504156</v>
      </c>
      <c r="O1947" s="1468"/>
    </row>
    <row r="1948" spans="11:15">
      <c r="K1948" s="1465">
        <v>44005</v>
      </c>
      <c r="L1948" s="1466" t="s">
        <v>2125</v>
      </c>
      <c r="M1948" s="1467">
        <v>8.4419999999999999E-3</v>
      </c>
      <c r="N1948" s="1468">
        <v>1.600323034516872</v>
      </c>
      <c r="O1948" s="1468"/>
    </row>
    <row r="1949" spans="11:15">
      <c r="K1949" s="1465">
        <v>44006</v>
      </c>
      <c r="L1949" s="1466" t="s">
        <v>2125</v>
      </c>
      <c r="M1949" s="1467">
        <v>8.4419999999999999E-3</v>
      </c>
      <c r="N1949" s="1468">
        <v>1.6004581337874459</v>
      </c>
      <c r="O1949" s="1468"/>
    </row>
    <row r="1950" spans="11:15">
      <c r="K1950" s="1465">
        <v>44007</v>
      </c>
      <c r="L1950" s="1466" t="s">
        <v>2125</v>
      </c>
      <c r="M1950" s="1467">
        <v>8.4419999999999999E-3</v>
      </c>
      <c r="N1950" s="1468">
        <v>1.6005932444631004</v>
      </c>
      <c r="O1950" s="1468"/>
    </row>
    <row r="1951" spans="11:15">
      <c r="K1951" s="1465">
        <v>44008</v>
      </c>
      <c r="L1951" s="1466" t="s">
        <v>2125</v>
      </c>
      <c r="M1951" s="1467">
        <v>8.4419999999999999E-3</v>
      </c>
      <c r="N1951" s="1468">
        <v>1.600728366544798</v>
      </c>
      <c r="O1951" s="1468"/>
    </row>
    <row r="1952" spans="11:15">
      <c r="K1952" s="1465">
        <v>44009</v>
      </c>
      <c r="L1952" s="1466"/>
      <c r="M1952" s="1467">
        <v>0</v>
      </c>
      <c r="N1952" s="1468">
        <v>1.600728366544798</v>
      </c>
      <c r="O1952" s="1468"/>
    </row>
    <row r="1953" spans="11:15">
      <c r="K1953" s="1465">
        <v>44010</v>
      </c>
      <c r="L1953" s="1466"/>
      <c r="M1953" s="1467">
        <v>0</v>
      </c>
      <c r="N1953" s="1468">
        <v>1.600728366544798</v>
      </c>
      <c r="O1953" s="1468"/>
    </row>
    <row r="1954" spans="11:15">
      <c r="K1954" s="1465">
        <v>44011</v>
      </c>
      <c r="L1954" s="1466" t="s">
        <v>2125</v>
      </c>
      <c r="M1954" s="1467">
        <v>8.4419999999999999E-3</v>
      </c>
      <c r="N1954" s="1468">
        <v>1.6008635000335019</v>
      </c>
      <c r="O1954" s="1468"/>
    </row>
    <row r="1955" spans="11:15">
      <c r="K1955" s="1465">
        <v>44012</v>
      </c>
      <c r="L1955" s="1466" t="s">
        <v>2125</v>
      </c>
      <c r="M1955" s="1467">
        <v>8.4419999999999999E-3</v>
      </c>
      <c r="N1955" s="1468">
        <v>1.6009986449301747</v>
      </c>
      <c r="O1955" s="1468"/>
    </row>
    <row r="1956" spans="11:15">
      <c r="K1956" s="1465">
        <v>44013</v>
      </c>
      <c r="L1956" s="1466" t="s">
        <v>2125</v>
      </c>
      <c r="M1956" s="1467">
        <v>8.4419999999999999E-3</v>
      </c>
      <c r="N1956" s="1468">
        <v>1.6011338012357799</v>
      </c>
      <c r="O1956" s="1468"/>
    </row>
    <row r="1957" spans="11:15">
      <c r="K1957" s="1465">
        <v>44014</v>
      </c>
      <c r="L1957" s="1466" t="s">
        <v>2125</v>
      </c>
      <c r="M1957" s="1467">
        <v>8.4419999999999999E-3</v>
      </c>
      <c r="N1957" s="1468">
        <v>1.6012689689512802</v>
      </c>
      <c r="O1957" s="1468"/>
    </row>
    <row r="1958" spans="11:15">
      <c r="K1958" s="1465">
        <v>44015</v>
      </c>
      <c r="L1958" s="1466" t="s">
        <v>2125</v>
      </c>
      <c r="M1958" s="1467">
        <v>8.4419999999999999E-3</v>
      </c>
      <c r="N1958" s="1468">
        <v>1.6014041480776393</v>
      </c>
      <c r="O1958" s="1468"/>
    </row>
    <row r="1959" spans="11:15">
      <c r="K1959" s="1465">
        <v>44016</v>
      </c>
      <c r="L1959" s="1466"/>
      <c r="M1959" s="1467">
        <v>0</v>
      </c>
      <c r="N1959" s="1468">
        <v>1.6014041480776393</v>
      </c>
      <c r="O1959" s="1468"/>
    </row>
    <row r="1960" spans="11:15">
      <c r="K1960" s="1465">
        <v>44017</v>
      </c>
      <c r="L1960" s="1466"/>
      <c r="M1960" s="1467">
        <v>0</v>
      </c>
      <c r="N1960" s="1468">
        <v>1.6014041480776393</v>
      </c>
      <c r="O1960" s="1468"/>
    </row>
    <row r="1961" spans="11:15">
      <c r="K1961" s="1465">
        <v>44018</v>
      </c>
      <c r="L1961" s="1466" t="s">
        <v>2125</v>
      </c>
      <c r="M1961" s="1467">
        <v>8.4419999999999999E-3</v>
      </c>
      <c r="N1961" s="1468">
        <v>1.6015393386158201</v>
      </c>
      <c r="O1961" s="1468"/>
    </row>
    <row r="1962" spans="11:15">
      <c r="K1962" s="1465">
        <v>44019</v>
      </c>
      <c r="L1962" s="1466" t="s">
        <v>2125</v>
      </c>
      <c r="M1962" s="1467">
        <v>8.4419999999999999E-3</v>
      </c>
      <c r="N1962" s="1468">
        <v>1.6016745405667863</v>
      </c>
      <c r="O1962" s="1468"/>
    </row>
    <row r="1963" spans="11:15">
      <c r="K1963" s="1465">
        <v>44020</v>
      </c>
      <c r="L1963" s="1466" t="s">
        <v>2125</v>
      </c>
      <c r="M1963" s="1467">
        <v>8.4419999999999999E-3</v>
      </c>
      <c r="N1963" s="1468">
        <v>1.601809753931501</v>
      </c>
      <c r="O1963" s="1468"/>
    </row>
    <row r="1964" spans="11:15">
      <c r="K1964" s="1465">
        <v>44021</v>
      </c>
      <c r="L1964" s="1466" t="s">
        <v>2125</v>
      </c>
      <c r="M1964" s="1467">
        <v>8.4419999999999999E-3</v>
      </c>
      <c r="N1964" s="1468">
        <v>1.6019449787109281</v>
      </c>
      <c r="O1964" s="1468"/>
    </row>
    <row r="1965" spans="11:15">
      <c r="K1965" s="1465">
        <v>44022</v>
      </c>
      <c r="L1965" s="1466" t="s">
        <v>2125</v>
      </c>
      <c r="M1965" s="1467">
        <v>8.4419999999999999E-3</v>
      </c>
      <c r="N1965" s="1468">
        <v>1.6020802149060309</v>
      </c>
      <c r="O1965" s="1468"/>
    </row>
    <row r="1966" spans="11:15">
      <c r="K1966" s="1465">
        <v>44023</v>
      </c>
      <c r="L1966" s="1466"/>
      <c r="M1966" s="1467">
        <v>0</v>
      </c>
      <c r="N1966" s="1468">
        <v>1.6020802149060309</v>
      </c>
      <c r="O1966" s="1468"/>
    </row>
    <row r="1967" spans="11:15">
      <c r="K1967" s="1465">
        <v>44024</v>
      </c>
      <c r="L1967" s="1466"/>
      <c r="M1967" s="1467">
        <v>0</v>
      </c>
      <c r="N1967" s="1468">
        <v>1.6020802149060309</v>
      </c>
      <c r="O1967" s="1468"/>
    </row>
    <row r="1968" spans="11:15">
      <c r="K1968" s="1465">
        <v>44025</v>
      </c>
      <c r="L1968" s="1466" t="s">
        <v>2125</v>
      </c>
      <c r="M1968" s="1467">
        <v>8.4419999999999999E-3</v>
      </c>
      <c r="N1968" s="1468">
        <v>1.6022154625177734</v>
      </c>
      <c r="O1968" s="1468"/>
    </row>
    <row r="1969" spans="11:15">
      <c r="K1969" s="1465">
        <v>44026</v>
      </c>
      <c r="L1969" s="1466" t="s">
        <v>2125</v>
      </c>
      <c r="M1969" s="1467">
        <v>8.4419999999999999E-3</v>
      </c>
      <c r="N1969" s="1468">
        <v>1.6023507215471193</v>
      </c>
      <c r="O1969" s="1468"/>
    </row>
    <row r="1970" spans="11:15">
      <c r="K1970" s="1465">
        <v>44027</v>
      </c>
      <c r="L1970" s="1466" t="s">
        <v>2125</v>
      </c>
      <c r="M1970" s="1467">
        <v>8.4419999999999999E-3</v>
      </c>
      <c r="N1970" s="1468">
        <v>1.6024859919950325</v>
      </c>
      <c r="O1970" s="1468"/>
    </row>
    <row r="1971" spans="11:15">
      <c r="K1971" s="1465">
        <v>44028</v>
      </c>
      <c r="L1971" s="1466" t="s">
        <v>2125</v>
      </c>
      <c r="M1971" s="1467">
        <v>8.4419999999999999E-3</v>
      </c>
      <c r="N1971" s="1468">
        <v>1.6026212738624768</v>
      </c>
      <c r="O1971" s="1468"/>
    </row>
    <row r="1972" spans="11:15">
      <c r="K1972" s="1465">
        <v>44029</v>
      </c>
      <c r="L1972" s="1466" t="s">
        <v>2125</v>
      </c>
      <c r="M1972" s="1467">
        <v>8.4419999999999999E-3</v>
      </c>
      <c r="N1972" s="1468">
        <v>1.6027565671504165</v>
      </c>
      <c r="O1972" s="1468"/>
    </row>
    <row r="1973" spans="11:15">
      <c r="K1973" s="1465">
        <v>44030</v>
      </c>
      <c r="L1973" s="1466"/>
      <c r="M1973" s="1467">
        <v>0</v>
      </c>
      <c r="N1973" s="1468">
        <v>1.6027565671504165</v>
      </c>
      <c r="O1973" s="1468"/>
    </row>
    <row r="1974" spans="11:15">
      <c r="K1974" s="1465">
        <v>44031</v>
      </c>
      <c r="L1974" s="1466"/>
      <c r="M1974" s="1467">
        <v>0</v>
      </c>
      <c r="N1974" s="1468">
        <v>1.6027565671504165</v>
      </c>
      <c r="O1974" s="1468"/>
    </row>
    <row r="1975" spans="11:15">
      <c r="K1975" s="1465">
        <v>44032</v>
      </c>
      <c r="L1975" s="1466" t="s">
        <v>2125</v>
      </c>
      <c r="M1975" s="1467">
        <v>8.4419999999999999E-3</v>
      </c>
      <c r="N1975" s="1468">
        <v>1.6028918718598155</v>
      </c>
      <c r="O1975" s="1468"/>
    </row>
    <row r="1976" spans="11:15">
      <c r="K1976" s="1465">
        <v>44033</v>
      </c>
      <c r="L1976" s="1466" t="s">
        <v>2125</v>
      </c>
      <c r="M1976" s="1467">
        <v>8.4419999999999999E-3</v>
      </c>
      <c r="N1976" s="1468">
        <v>1.603027187991638</v>
      </c>
      <c r="O1976" s="1468"/>
    </row>
    <row r="1977" spans="11:15">
      <c r="K1977" s="1465">
        <v>44034</v>
      </c>
      <c r="L1977" s="1466" t="s">
        <v>2125</v>
      </c>
      <c r="M1977" s="1467">
        <v>8.4419999999999999E-3</v>
      </c>
      <c r="N1977" s="1468">
        <v>1.6031625155468483</v>
      </c>
      <c r="O1977" s="1468"/>
    </row>
    <row r="1978" spans="11:15">
      <c r="K1978" s="1465">
        <v>44035</v>
      </c>
      <c r="L1978" s="1466" t="s">
        <v>2125</v>
      </c>
      <c r="M1978" s="1467">
        <v>8.4419999999999999E-3</v>
      </c>
      <c r="N1978" s="1468">
        <v>1.6032978545264109</v>
      </c>
      <c r="O1978" s="1468"/>
    </row>
    <row r="1979" spans="11:15">
      <c r="K1979" s="1465">
        <v>44036</v>
      </c>
      <c r="L1979" s="1466" t="s">
        <v>2125</v>
      </c>
      <c r="M1979" s="1467">
        <v>8.4419999999999999E-3</v>
      </c>
      <c r="N1979" s="1468">
        <v>1.6034332049312903</v>
      </c>
      <c r="O1979" s="1468"/>
    </row>
    <row r="1980" spans="11:15">
      <c r="K1980" s="1465">
        <v>44037</v>
      </c>
      <c r="L1980" s="1466"/>
      <c r="M1980" s="1467">
        <v>0</v>
      </c>
      <c r="N1980" s="1468">
        <v>1.6034332049312903</v>
      </c>
      <c r="O1980" s="1468"/>
    </row>
    <row r="1981" spans="11:15">
      <c r="K1981" s="1465">
        <v>44038</v>
      </c>
      <c r="L1981" s="1466"/>
      <c r="M1981" s="1467">
        <v>0</v>
      </c>
      <c r="N1981" s="1468">
        <v>1.6034332049312903</v>
      </c>
      <c r="O1981" s="1468"/>
    </row>
    <row r="1982" spans="11:15">
      <c r="K1982" s="1465">
        <v>44039</v>
      </c>
      <c r="L1982" s="1466" t="s">
        <v>2125</v>
      </c>
      <c r="M1982" s="1467">
        <v>8.4419999999999999E-3</v>
      </c>
      <c r="N1982" s="1468">
        <v>1.6035685667624506</v>
      </c>
      <c r="O1982" s="1468"/>
    </row>
    <row r="1983" spans="11:15">
      <c r="K1983" s="1465">
        <v>44040</v>
      </c>
      <c r="L1983" s="1466" t="s">
        <v>2125</v>
      </c>
      <c r="M1983" s="1467">
        <v>8.4419999999999999E-3</v>
      </c>
      <c r="N1983" s="1468">
        <v>1.6037039400208568</v>
      </c>
      <c r="O1983" s="1468"/>
    </row>
    <row r="1984" spans="11:15">
      <c r="K1984" s="1465">
        <v>44041</v>
      </c>
      <c r="L1984" s="1466" t="s">
        <v>2125</v>
      </c>
      <c r="M1984" s="1467">
        <v>8.4419999999999999E-3</v>
      </c>
      <c r="N1984" s="1468">
        <v>1.6038393247074736</v>
      </c>
      <c r="O1984" s="1468"/>
    </row>
    <row r="1985" spans="11:15">
      <c r="K1985" s="1465">
        <v>44042</v>
      </c>
      <c r="L1985" s="1466" t="s">
        <v>2125</v>
      </c>
      <c r="M1985" s="1467">
        <v>8.4419999999999999E-3</v>
      </c>
      <c r="N1985" s="1468">
        <v>1.6039747208232655</v>
      </c>
      <c r="O1985" s="1468"/>
    </row>
    <row r="1986" spans="11:15">
      <c r="K1986" s="1465">
        <v>44043</v>
      </c>
      <c r="L1986" s="1466" t="s">
        <v>2125</v>
      </c>
      <c r="M1986" s="1467">
        <v>8.4419999999999999E-3</v>
      </c>
      <c r="N1986" s="1468">
        <v>1.6041101283691976</v>
      </c>
      <c r="O1986" s="1468"/>
    </row>
    <row r="1987" spans="11:15">
      <c r="K1987" s="1465">
        <v>44044</v>
      </c>
      <c r="L1987" s="1466"/>
      <c r="M1987" s="1467">
        <v>0</v>
      </c>
      <c r="N1987" s="1468">
        <v>1.6041101283691976</v>
      </c>
      <c r="O1987" s="1468"/>
    </row>
    <row r="1988" spans="11:15">
      <c r="K1988" s="1465">
        <v>44045</v>
      </c>
      <c r="L1988" s="1466"/>
      <c r="M1988" s="1467">
        <v>0</v>
      </c>
      <c r="N1988" s="1468">
        <v>1.6041101283691976</v>
      </c>
      <c r="O1988" s="1468"/>
    </row>
    <row r="1989" spans="11:15">
      <c r="K1989" s="1465">
        <v>44046</v>
      </c>
      <c r="L1989" s="1466" t="s">
        <v>2125</v>
      </c>
      <c r="M1989" s="1467">
        <v>8.4419999999999999E-3</v>
      </c>
      <c r="N1989" s="1468">
        <v>1.6042455473462347</v>
      </c>
      <c r="O1989" s="1468"/>
    </row>
    <row r="1990" spans="11:15">
      <c r="K1990" s="1465">
        <v>44047</v>
      </c>
      <c r="L1990" s="1466" t="s">
        <v>2125</v>
      </c>
      <c r="M1990" s="1467">
        <v>8.4419999999999999E-3</v>
      </c>
      <c r="N1990" s="1468">
        <v>1.6043809777553417</v>
      </c>
      <c r="O1990" s="1468"/>
    </row>
    <row r="1991" spans="11:15">
      <c r="K1991" s="1465">
        <v>44048</v>
      </c>
      <c r="L1991" s="1466" t="s">
        <v>2125</v>
      </c>
      <c r="M1991" s="1467">
        <v>8.4419999999999999E-3</v>
      </c>
      <c r="N1991" s="1468">
        <v>1.6045164195974839</v>
      </c>
      <c r="O1991" s="1468"/>
    </row>
    <row r="1992" spans="11:15">
      <c r="K1992" s="1465">
        <v>44049</v>
      </c>
      <c r="L1992" s="1466" t="s">
        <v>2125</v>
      </c>
      <c r="M1992" s="1467">
        <v>7.4689999999999999E-3</v>
      </c>
      <c r="N1992" s="1468">
        <v>1.6046362609288636</v>
      </c>
      <c r="O1992" s="1468"/>
    </row>
    <row r="1993" spans="11:15">
      <c r="K1993" s="1465">
        <v>44050</v>
      </c>
      <c r="L1993" s="1466" t="s">
        <v>2125</v>
      </c>
      <c r="M1993" s="1467">
        <v>7.4689999999999999E-3</v>
      </c>
      <c r="N1993" s="1468">
        <v>1.6047561112111923</v>
      </c>
      <c r="O1993" s="1468"/>
    </row>
    <row r="1994" spans="11:15">
      <c r="K1994" s="1465">
        <v>44051</v>
      </c>
      <c r="L1994" s="1466"/>
      <c r="M1994" s="1467">
        <v>0</v>
      </c>
      <c r="N1994" s="1468">
        <v>1.6047561112111923</v>
      </c>
      <c r="O1994" s="1468"/>
    </row>
    <row r="1995" spans="11:15">
      <c r="K1995" s="1465">
        <v>44052</v>
      </c>
      <c r="L1995" s="1466"/>
      <c r="M1995" s="1467">
        <v>0</v>
      </c>
      <c r="N1995" s="1468">
        <v>1.6047561112111923</v>
      </c>
      <c r="O1995" s="1468"/>
    </row>
    <row r="1996" spans="11:15">
      <c r="K1996" s="1465">
        <v>44053</v>
      </c>
      <c r="L1996" s="1466" t="s">
        <v>2125</v>
      </c>
      <c r="M1996" s="1467">
        <v>7.4689999999999999E-3</v>
      </c>
      <c r="N1996" s="1468">
        <v>1.6048759704451385</v>
      </c>
      <c r="O1996" s="1468"/>
    </row>
    <row r="1997" spans="11:15">
      <c r="K1997" s="1465">
        <v>44054</v>
      </c>
      <c r="L1997" s="1466" t="s">
        <v>2125</v>
      </c>
      <c r="M1997" s="1467">
        <v>7.4689999999999999E-3</v>
      </c>
      <c r="N1997" s="1468">
        <v>1.604995838631371</v>
      </c>
      <c r="O1997" s="1468"/>
    </row>
    <row r="1998" spans="11:15">
      <c r="K1998" s="1465">
        <v>44055</v>
      </c>
      <c r="L1998" s="1466" t="s">
        <v>2125</v>
      </c>
      <c r="M1998" s="1467">
        <v>7.4689999999999999E-3</v>
      </c>
      <c r="N1998" s="1468">
        <v>1.6051157157705582</v>
      </c>
      <c r="O1998" s="1468"/>
    </row>
    <row r="1999" spans="11:15">
      <c r="K1999" s="1465">
        <v>44056</v>
      </c>
      <c r="L1999" s="1466" t="s">
        <v>2125</v>
      </c>
      <c r="M1999" s="1467">
        <v>7.4689999999999999E-3</v>
      </c>
      <c r="N1999" s="1468">
        <v>1.6052356018633691</v>
      </c>
      <c r="O1999" s="1468"/>
    </row>
    <row r="2000" spans="11:15">
      <c r="K2000" s="1465">
        <v>44057</v>
      </c>
      <c r="L2000" s="1466" t="s">
        <v>2125</v>
      </c>
      <c r="M2000" s="1467">
        <v>7.4689999999999999E-3</v>
      </c>
      <c r="N2000" s="1468">
        <v>1.6053554969104722</v>
      </c>
      <c r="O2000" s="1468"/>
    </row>
    <row r="2001" spans="11:15">
      <c r="K2001" s="1465">
        <v>44058</v>
      </c>
      <c r="L2001" s="1466"/>
      <c r="M2001" s="1467">
        <v>0</v>
      </c>
      <c r="N2001" s="1468">
        <v>1.6053554969104722</v>
      </c>
      <c r="O2001" s="1468"/>
    </row>
    <row r="2002" spans="11:15">
      <c r="K2002" s="1465">
        <v>44059</v>
      </c>
      <c r="L2002" s="1466"/>
      <c r="M2002" s="1467">
        <v>0</v>
      </c>
      <c r="N2002" s="1468">
        <v>1.6053554969104722</v>
      </c>
      <c r="O2002" s="1468"/>
    </row>
    <row r="2003" spans="11:15">
      <c r="K2003" s="1465">
        <v>44060</v>
      </c>
      <c r="L2003" s="1466" t="s">
        <v>2125</v>
      </c>
      <c r="M2003" s="1467">
        <v>7.4689999999999999E-3</v>
      </c>
      <c r="N2003" s="1468">
        <v>1.6054754009125363</v>
      </c>
      <c r="O2003" s="1468"/>
    </row>
    <row r="2004" spans="11:15">
      <c r="K2004" s="1465">
        <v>44061</v>
      </c>
      <c r="L2004" s="1466" t="s">
        <v>2125</v>
      </c>
      <c r="M2004" s="1467">
        <v>7.4689999999999999E-3</v>
      </c>
      <c r="N2004" s="1468">
        <v>1.6055953138702304</v>
      </c>
      <c r="O2004" s="1468"/>
    </row>
    <row r="2005" spans="11:15">
      <c r="K2005" s="1465">
        <v>44062</v>
      </c>
      <c r="L2005" s="1466" t="s">
        <v>2125</v>
      </c>
      <c r="M2005" s="1467">
        <v>7.4689999999999999E-3</v>
      </c>
      <c r="N2005" s="1468">
        <v>1.6057152357842233</v>
      </c>
      <c r="O2005" s="1468"/>
    </row>
    <row r="2006" spans="11:15">
      <c r="K2006" s="1465">
        <v>44063</v>
      </c>
      <c r="L2006" s="1466" t="s">
        <v>2125</v>
      </c>
      <c r="M2006" s="1467">
        <v>7.4689999999999999E-3</v>
      </c>
      <c r="N2006" s="1468">
        <v>1.6058351666551838</v>
      </c>
      <c r="O2006" s="1468"/>
    </row>
    <row r="2007" spans="11:15">
      <c r="K2007" s="1465">
        <v>44064</v>
      </c>
      <c r="L2007" s="1466" t="s">
        <v>2125</v>
      </c>
      <c r="M2007" s="1467">
        <v>7.4689999999999999E-3</v>
      </c>
      <c r="N2007" s="1468">
        <v>1.6059551064837811</v>
      </c>
      <c r="O2007" s="1468"/>
    </row>
    <row r="2008" spans="11:15">
      <c r="K2008" s="1465">
        <v>44065</v>
      </c>
      <c r="L2008" s="1466"/>
      <c r="M2008" s="1467">
        <v>0</v>
      </c>
      <c r="N2008" s="1468">
        <v>1.6059551064837811</v>
      </c>
      <c r="O2008" s="1468"/>
    </row>
    <row r="2009" spans="11:15">
      <c r="K2009" s="1465">
        <v>44066</v>
      </c>
      <c r="L2009" s="1466"/>
      <c r="M2009" s="1467">
        <v>0</v>
      </c>
      <c r="N2009" s="1468">
        <v>1.6059551064837811</v>
      </c>
      <c r="O2009" s="1468"/>
    </row>
    <row r="2010" spans="11:15">
      <c r="K2010" s="1465">
        <v>44067</v>
      </c>
      <c r="L2010" s="1466" t="s">
        <v>2125</v>
      </c>
      <c r="M2010" s="1467">
        <v>7.4689999999999999E-3</v>
      </c>
      <c r="N2010" s="1468">
        <v>1.6060750552706844</v>
      </c>
      <c r="O2010" s="1468"/>
    </row>
    <row r="2011" spans="11:15">
      <c r="K2011" s="1465">
        <v>44068</v>
      </c>
      <c r="L2011" s="1466" t="s">
        <v>2125</v>
      </c>
      <c r="M2011" s="1467">
        <v>7.4689999999999999E-3</v>
      </c>
      <c r="N2011" s="1468">
        <v>1.6061950130165625</v>
      </c>
      <c r="O2011" s="1468"/>
    </row>
    <row r="2012" spans="11:15">
      <c r="K2012" s="1465">
        <v>44069</v>
      </c>
      <c r="L2012" s="1466" t="s">
        <v>2125</v>
      </c>
      <c r="M2012" s="1467">
        <v>7.4689999999999999E-3</v>
      </c>
      <c r="N2012" s="1468">
        <v>1.6063149797220846</v>
      </c>
      <c r="O2012" s="1468"/>
    </row>
    <row r="2013" spans="11:15">
      <c r="K2013" s="1465">
        <v>44070</v>
      </c>
      <c r="L2013" s="1466" t="s">
        <v>2125</v>
      </c>
      <c r="M2013" s="1467">
        <v>7.4689999999999999E-3</v>
      </c>
      <c r="N2013" s="1468">
        <v>1.60643495538792</v>
      </c>
      <c r="O2013" s="1468"/>
    </row>
    <row r="2014" spans="11:15">
      <c r="K2014" s="1465">
        <v>44071</v>
      </c>
      <c r="L2014" s="1466" t="s">
        <v>2125</v>
      </c>
      <c r="M2014" s="1467">
        <v>7.4689999999999999E-3</v>
      </c>
      <c r="N2014" s="1468">
        <v>1.6065549400147379</v>
      </c>
      <c r="O2014" s="1468"/>
    </row>
    <row r="2015" spans="11:15">
      <c r="K2015" s="1465">
        <v>44072</v>
      </c>
      <c r="L2015" s="1466"/>
      <c r="M2015" s="1467">
        <v>0</v>
      </c>
      <c r="N2015" s="1468">
        <v>1.6065549400147379</v>
      </c>
      <c r="O2015" s="1468"/>
    </row>
    <row r="2016" spans="11:15">
      <c r="K2016" s="1465">
        <v>44073</v>
      </c>
      <c r="L2016" s="1466"/>
      <c r="M2016" s="1467">
        <v>0</v>
      </c>
      <c r="N2016" s="1468">
        <v>1.6065549400147379</v>
      </c>
      <c r="O2016" s="1468"/>
    </row>
    <row r="2017" spans="11:15">
      <c r="K2017" s="1465">
        <v>44074</v>
      </c>
      <c r="L2017" s="1466" t="s">
        <v>2125</v>
      </c>
      <c r="M2017" s="1467">
        <v>7.4689999999999999E-3</v>
      </c>
      <c r="N2017" s="1468">
        <v>1.6066749336032076</v>
      </c>
      <c r="O2017" s="1468"/>
    </row>
    <row r="2018" spans="11:15">
      <c r="K2018" s="1465">
        <v>44075</v>
      </c>
      <c r="L2018" s="1466" t="s">
        <v>2125</v>
      </c>
      <c r="M2018" s="1467">
        <v>7.4689999999999999E-3</v>
      </c>
      <c r="N2018" s="1468">
        <v>1.6067949361539984</v>
      </c>
      <c r="O2018" s="1468"/>
    </row>
    <row r="2019" spans="11:15">
      <c r="K2019" s="1465">
        <v>44076</v>
      </c>
      <c r="L2019" s="1466" t="s">
        <v>2125</v>
      </c>
      <c r="M2019" s="1467">
        <v>7.4689999999999999E-3</v>
      </c>
      <c r="N2019" s="1468">
        <v>1.6069149476677795</v>
      </c>
      <c r="O2019" s="1468"/>
    </row>
    <row r="2020" spans="11:15">
      <c r="K2020" s="1465">
        <v>44077</v>
      </c>
      <c r="L2020" s="1466" t="s">
        <v>2125</v>
      </c>
      <c r="M2020" s="1467">
        <v>7.4689999999999999E-3</v>
      </c>
      <c r="N2020" s="1468">
        <v>1.6070349681452207</v>
      </c>
      <c r="O2020" s="1468"/>
    </row>
    <row r="2021" spans="11:15">
      <c r="K2021" s="1465">
        <v>44078</v>
      </c>
      <c r="L2021" s="1466" t="s">
        <v>2125</v>
      </c>
      <c r="M2021" s="1467">
        <v>7.4689999999999999E-3</v>
      </c>
      <c r="N2021" s="1468">
        <v>1.6071549975869914</v>
      </c>
      <c r="O2021" s="1468"/>
    </row>
    <row r="2022" spans="11:15">
      <c r="K2022" s="1465">
        <v>44079</v>
      </c>
      <c r="L2022" s="1466"/>
      <c r="M2022" s="1467">
        <v>0</v>
      </c>
      <c r="N2022" s="1468">
        <v>1.6071549975869914</v>
      </c>
      <c r="O2022" s="1468"/>
    </row>
    <row r="2023" spans="11:15">
      <c r="K2023" s="1465">
        <v>44080</v>
      </c>
      <c r="L2023" s="1466"/>
      <c r="M2023" s="1467">
        <v>0</v>
      </c>
      <c r="N2023" s="1468">
        <v>1.6071549975869914</v>
      </c>
      <c r="O2023" s="1468"/>
    </row>
    <row r="2024" spans="11:15">
      <c r="K2024" s="1465">
        <v>44081</v>
      </c>
      <c r="L2024" s="1466"/>
      <c r="M2024" s="1467">
        <v>0</v>
      </c>
      <c r="N2024" s="1468">
        <v>1.6071549975869914</v>
      </c>
      <c r="O2024" s="1468"/>
    </row>
    <row r="2025" spans="11:15">
      <c r="K2025" s="1465">
        <v>44082</v>
      </c>
      <c r="L2025" s="1466" t="s">
        <v>2125</v>
      </c>
      <c r="M2025" s="1467">
        <v>7.4689999999999999E-3</v>
      </c>
      <c r="N2025" s="1468">
        <v>1.6072750359937611</v>
      </c>
      <c r="O2025" s="1468"/>
    </row>
    <row r="2026" spans="11:15">
      <c r="K2026" s="1465">
        <v>44083</v>
      </c>
      <c r="L2026" s="1466" t="s">
        <v>2125</v>
      </c>
      <c r="M2026" s="1467">
        <v>7.4689999999999999E-3</v>
      </c>
      <c r="N2026" s="1468">
        <v>1.6073950833661994</v>
      </c>
      <c r="O2026" s="1468"/>
    </row>
    <row r="2027" spans="11:15">
      <c r="K2027" s="1465">
        <v>44084</v>
      </c>
      <c r="L2027" s="1466" t="s">
        <v>2125</v>
      </c>
      <c r="M2027" s="1467">
        <v>7.4689999999999999E-3</v>
      </c>
      <c r="N2027" s="1468">
        <v>1.6075151397049758</v>
      </c>
      <c r="O2027" s="1468"/>
    </row>
    <row r="2028" spans="11:15">
      <c r="K2028" s="1465">
        <v>44085</v>
      </c>
      <c r="L2028" s="1466" t="s">
        <v>2125</v>
      </c>
      <c r="M2028" s="1467">
        <v>7.4689999999999999E-3</v>
      </c>
      <c r="N2028" s="1468">
        <v>1.6076352050107603</v>
      </c>
      <c r="O2028" s="1468"/>
    </row>
    <row r="2029" spans="11:15">
      <c r="K2029" s="1465">
        <v>44086</v>
      </c>
      <c r="L2029" s="1466"/>
      <c r="M2029" s="1467">
        <v>0</v>
      </c>
      <c r="N2029" s="1468">
        <v>1.6076352050107603</v>
      </c>
      <c r="O2029" s="1468"/>
    </row>
    <row r="2030" spans="11:15">
      <c r="K2030" s="1465">
        <v>44087</v>
      </c>
      <c r="L2030" s="1466"/>
      <c r="M2030" s="1467">
        <v>0</v>
      </c>
      <c r="N2030" s="1468">
        <v>1.6076352050107603</v>
      </c>
      <c r="O2030" s="1468"/>
    </row>
    <row r="2031" spans="11:15">
      <c r="K2031" s="1465">
        <v>44088</v>
      </c>
      <c r="L2031" s="1466" t="s">
        <v>2125</v>
      </c>
      <c r="M2031" s="1467">
        <v>7.4689999999999999E-3</v>
      </c>
      <c r="N2031" s="1468">
        <v>1.6077552792842225</v>
      </c>
      <c r="O2031" s="1468"/>
    </row>
    <row r="2032" spans="11:15">
      <c r="K2032" s="1465">
        <v>44089</v>
      </c>
      <c r="L2032" s="1466" t="s">
        <v>2125</v>
      </c>
      <c r="M2032" s="1467">
        <v>7.4689999999999999E-3</v>
      </c>
      <c r="N2032" s="1468">
        <v>1.607875362526032</v>
      </c>
      <c r="O2032" s="1468"/>
    </row>
    <row r="2033" spans="11:15">
      <c r="K2033" s="1465">
        <v>44090</v>
      </c>
      <c r="L2033" s="1466" t="s">
        <v>2125</v>
      </c>
      <c r="M2033" s="1467">
        <v>7.4689999999999999E-3</v>
      </c>
      <c r="N2033" s="1468">
        <v>1.6079954547368589</v>
      </c>
      <c r="O2033" s="1468"/>
    </row>
    <row r="2034" spans="11:15">
      <c r="K2034" s="1465">
        <v>44091</v>
      </c>
      <c r="L2034" s="1466" t="s">
        <v>2125</v>
      </c>
      <c r="M2034" s="1467">
        <v>7.4689999999999999E-3</v>
      </c>
      <c r="N2034" s="1468">
        <v>1.608115555917373</v>
      </c>
      <c r="O2034" s="1468"/>
    </row>
    <row r="2035" spans="11:15">
      <c r="K2035" s="1465">
        <v>44092</v>
      </c>
      <c r="L2035" s="1466" t="s">
        <v>2125</v>
      </c>
      <c r="M2035" s="1467">
        <v>7.4689999999999999E-3</v>
      </c>
      <c r="N2035" s="1468">
        <v>1.6082356660682444</v>
      </c>
      <c r="O2035" s="1468"/>
    </row>
    <row r="2036" spans="11:15">
      <c r="K2036" s="1465">
        <v>44093</v>
      </c>
      <c r="L2036" s="1466"/>
      <c r="M2036" s="1467">
        <v>0</v>
      </c>
      <c r="N2036" s="1468">
        <v>1.6082356660682444</v>
      </c>
      <c r="O2036" s="1468"/>
    </row>
    <row r="2037" spans="11:15">
      <c r="K2037" s="1465">
        <v>44094</v>
      </c>
      <c r="L2037" s="1466"/>
      <c r="M2037" s="1467">
        <v>0</v>
      </c>
      <c r="N2037" s="1468">
        <v>1.6082356660682444</v>
      </c>
      <c r="O2037" s="1468"/>
    </row>
    <row r="2038" spans="11:15">
      <c r="K2038" s="1465">
        <v>44095</v>
      </c>
      <c r="L2038" s="1466" t="s">
        <v>2125</v>
      </c>
      <c r="M2038" s="1467">
        <v>7.4689999999999999E-3</v>
      </c>
      <c r="N2038" s="1468">
        <v>1.6083557851901429</v>
      </c>
      <c r="O2038" s="1468"/>
    </row>
    <row r="2039" spans="11:15">
      <c r="K2039" s="1465">
        <v>44096</v>
      </c>
      <c r="L2039" s="1466" t="s">
        <v>2125</v>
      </c>
      <c r="M2039" s="1467">
        <v>7.4689999999999999E-3</v>
      </c>
      <c r="N2039" s="1468">
        <v>1.6084759132837387</v>
      </c>
      <c r="O2039" s="1468"/>
    </row>
    <row r="2040" spans="11:15">
      <c r="K2040" s="1465">
        <v>44097</v>
      </c>
      <c r="L2040" s="1466" t="s">
        <v>2125</v>
      </c>
      <c r="M2040" s="1467">
        <v>7.4689999999999999E-3</v>
      </c>
      <c r="N2040" s="1468">
        <v>1.6085960503497019</v>
      </c>
      <c r="O2040" s="1468"/>
    </row>
    <row r="2041" spans="11:15">
      <c r="K2041" s="1465">
        <v>44098</v>
      </c>
      <c r="L2041" s="1466" t="s">
        <v>2125</v>
      </c>
      <c r="M2041" s="1467">
        <v>7.4689999999999999E-3</v>
      </c>
      <c r="N2041" s="1468">
        <v>1.6087161963887024</v>
      </c>
      <c r="O2041" s="1468"/>
    </row>
    <row r="2042" spans="11:15">
      <c r="K2042" s="1465">
        <v>44099</v>
      </c>
      <c r="L2042" s="1466" t="s">
        <v>2125</v>
      </c>
      <c r="M2042" s="1467">
        <v>7.4689999999999999E-3</v>
      </c>
      <c r="N2042" s="1468">
        <v>1.6088363514014106</v>
      </c>
      <c r="O2042" s="1468"/>
    </row>
    <row r="2043" spans="11:15">
      <c r="K2043" s="1465">
        <v>44100</v>
      </c>
      <c r="L2043" s="1466"/>
      <c r="M2043" s="1467">
        <v>0</v>
      </c>
      <c r="N2043" s="1468">
        <v>1.6088363514014106</v>
      </c>
      <c r="O2043" s="1468"/>
    </row>
    <row r="2044" spans="11:15">
      <c r="K2044" s="1465">
        <v>44101</v>
      </c>
      <c r="L2044" s="1466"/>
      <c r="M2044" s="1467">
        <v>0</v>
      </c>
      <c r="N2044" s="1468">
        <v>1.6088363514014106</v>
      </c>
      <c r="O2044" s="1468"/>
    </row>
    <row r="2045" spans="11:15">
      <c r="K2045" s="1465">
        <v>44102</v>
      </c>
      <c r="L2045" s="1466" t="s">
        <v>2125</v>
      </c>
      <c r="M2045" s="1467">
        <v>7.4689999999999999E-3</v>
      </c>
      <c r="N2045" s="1468">
        <v>1.6089565153884966</v>
      </c>
      <c r="O2045" s="1468"/>
    </row>
    <row r="2046" spans="11:15">
      <c r="K2046" s="1465">
        <v>44103</v>
      </c>
      <c r="L2046" s="1466" t="s">
        <v>2125</v>
      </c>
      <c r="M2046" s="1467">
        <v>7.4689999999999999E-3</v>
      </c>
      <c r="N2046" s="1468">
        <v>1.6090766883506309</v>
      </c>
      <c r="O2046" s="1468"/>
    </row>
    <row r="2047" spans="11:15">
      <c r="K2047" s="1465">
        <v>44104</v>
      </c>
      <c r="L2047" s="1466" t="s">
        <v>2125</v>
      </c>
      <c r="M2047" s="1467">
        <v>7.4689999999999999E-3</v>
      </c>
      <c r="N2047" s="1468">
        <v>1.6091968702884838</v>
      </c>
      <c r="O2047" s="1468"/>
    </row>
    <row r="2048" spans="11:15">
      <c r="K2048" s="1465">
        <v>44105</v>
      </c>
      <c r="L2048" s="1466" t="s">
        <v>2125</v>
      </c>
      <c r="M2048" s="1467">
        <v>7.4689999999999999E-3</v>
      </c>
      <c r="N2048" s="1468">
        <v>1.6093170612027254</v>
      </c>
      <c r="O2048" s="1468"/>
    </row>
    <row r="2049" spans="11:15">
      <c r="K2049" s="1465">
        <v>44106</v>
      </c>
      <c r="L2049" s="1466" t="s">
        <v>2125</v>
      </c>
      <c r="M2049" s="1467">
        <v>7.4689999999999999E-3</v>
      </c>
      <c r="N2049" s="1468">
        <v>1.6094372610940266</v>
      </c>
      <c r="O2049" s="1468"/>
    </row>
    <row r="2050" spans="11:15">
      <c r="K2050" s="1465">
        <v>44107</v>
      </c>
      <c r="L2050" s="1466"/>
      <c r="M2050" s="1467">
        <v>0</v>
      </c>
      <c r="N2050" s="1468">
        <v>1.6094372610940266</v>
      </c>
      <c r="O2050" s="1468"/>
    </row>
    <row r="2051" spans="11:15">
      <c r="K2051" s="1465">
        <v>44108</v>
      </c>
      <c r="L2051" s="1466"/>
      <c r="M2051" s="1467">
        <v>0</v>
      </c>
      <c r="N2051" s="1468">
        <v>1.6094372610940266</v>
      </c>
      <c r="O2051" s="1468"/>
    </row>
    <row r="2052" spans="11:15">
      <c r="K2052" s="1465">
        <v>44109</v>
      </c>
      <c r="L2052" s="1466" t="s">
        <v>2125</v>
      </c>
      <c r="M2052" s="1467">
        <v>7.4689999999999999E-3</v>
      </c>
      <c r="N2052" s="1468">
        <v>1.6095574699630577</v>
      </c>
      <c r="O2052" s="1468"/>
    </row>
    <row r="2053" spans="11:15">
      <c r="K2053" s="1465">
        <v>44110</v>
      </c>
      <c r="L2053" s="1466" t="s">
        <v>2125</v>
      </c>
      <c r="M2053" s="1467">
        <v>7.4689999999999999E-3</v>
      </c>
      <c r="N2053" s="1468">
        <v>1.609677687810489</v>
      </c>
      <c r="O2053" s="1468"/>
    </row>
    <row r="2054" spans="11:15">
      <c r="K2054" s="1465">
        <v>44111</v>
      </c>
      <c r="L2054" s="1466" t="s">
        <v>2125</v>
      </c>
      <c r="M2054" s="1467">
        <v>7.4689999999999999E-3</v>
      </c>
      <c r="N2054" s="1468">
        <v>1.6097979146369914</v>
      </c>
      <c r="O2054" s="1468"/>
    </row>
    <row r="2055" spans="11:15">
      <c r="K2055" s="1465">
        <v>44112</v>
      </c>
      <c r="L2055" s="1466" t="s">
        <v>2125</v>
      </c>
      <c r="M2055" s="1467">
        <v>7.4689999999999999E-3</v>
      </c>
      <c r="N2055" s="1468">
        <v>1.6099181504432356</v>
      </c>
      <c r="O2055" s="1468"/>
    </row>
    <row r="2056" spans="11:15">
      <c r="K2056" s="1465">
        <v>44113</v>
      </c>
      <c r="L2056" s="1466" t="s">
        <v>2125</v>
      </c>
      <c r="M2056" s="1467">
        <v>7.4689999999999999E-3</v>
      </c>
      <c r="N2056" s="1468">
        <v>1.610038395229892</v>
      </c>
      <c r="O2056" s="1468"/>
    </row>
    <row r="2057" spans="11:15">
      <c r="K2057" s="1465">
        <v>44114</v>
      </c>
      <c r="L2057" s="1466"/>
      <c r="M2057" s="1467">
        <v>0</v>
      </c>
      <c r="N2057" s="1468">
        <v>1.610038395229892</v>
      </c>
      <c r="O2057" s="1468"/>
    </row>
    <row r="2058" spans="11:15">
      <c r="K2058" s="1465">
        <v>44115</v>
      </c>
      <c r="L2058" s="1466"/>
      <c r="M2058" s="1467">
        <v>0</v>
      </c>
      <c r="N2058" s="1468">
        <v>1.610038395229892</v>
      </c>
      <c r="O2058" s="1468"/>
    </row>
    <row r="2059" spans="11:15">
      <c r="K2059" s="1465">
        <v>44116</v>
      </c>
      <c r="L2059" s="1466"/>
      <c r="M2059" s="1467">
        <v>0</v>
      </c>
      <c r="N2059" s="1468">
        <v>1.610038395229892</v>
      </c>
      <c r="O2059" s="1468"/>
    </row>
    <row r="2060" spans="11:15">
      <c r="K2060" s="1465">
        <v>44117</v>
      </c>
      <c r="L2060" s="1466" t="s">
        <v>2125</v>
      </c>
      <c r="M2060" s="1467">
        <v>7.4689999999999999E-3</v>
      </c>
      <c r="N2060" s="1468">
        <v>1.6101586489976316</v>
      </c>
      <c r="O2060" s="1468"/>
    </row>
    <row r="2061" spans="11:15">
      <c r="K2061" s="1465">
        <v>44118</v>
      </c>
      <c r="L2061" s="1466" t="s">
        <v>2125</v>
      </c>
      <c r="M2061" s="1467">
        <v>7.4689999999999999E-3</v>
      </c>
      <c r="N2061" s="1468">
        <v>1.6102789117471252</v>
      </c>
      <c r="O2061" s="1468"/>
    </row>
    <row r="2062" spans="11:15">
      <c r="K2062" s="1465">
        <v>44119</v>
      </c>
      <c r="L2062" s="1466" t="s">
        <v>2125</v>
      </c>
      <c r="M2062" s="1467">
        <v>7.4689999999999999E-3</v>
      </c>
      <c r="N2062" s="1468">
        <v>1.6103991834790434</v>
      </c>
      <c r="O2062" s="1468"/>
    </row>
    <row r="2063" spans="11:15">
      <c r="K2063" s="1465">
        <v>44120</v>
      </c>
      <c r="L2063" s="1466" t="s">
        <v>2125</v>
      </c>
      <c r="M2063" s="1467">
        <v>7.4689999999999999E-3</v>
      </c>
      <c r="N2063" s="1468">
        <v>1.6105194641940574</v>
      </c>
      <c r="O2063" s="1468"/>
    </row>
    <row r="2064" spans="11:15">
      <c r="K2064" s="1465">
        <v>44121</v>
      </c>
      <c r="L2064" s="1466"/>
      <c r="M2064" s="1467">
        <v>0</v>
      </c>
      <c r="N2064" s="1468">
        <v>1.6105194641940574</v>
      </c>
      <c r="O2064" s="1468"/>
    </row>
    <row r="2065" spans="11:15">
      <c r="K2065" s="1465">
        <v>44122</v>
      </c>
      <c r="L2065" s="1466"/>
      <c r="M2065" s="1467">
        <v>0</v>
      </c>
      <c r="N2065" s="1468">
        <v>1.6105194641940574</v>
      </c>
      <c r="O2065" s="1468"/>
    </row>
    <row r="2066" spans="11:15">
      <c r="K2066" s="1465">
        <v>44123</v>
      </c>
      <c r="L2066" s="1466" t="s">
        <v>2125</v>
      </c>
      <c r="M2066" s="1467">
        <v>7.4689999999999999E-3</v>
      </c>
      <c r="N2066" s="1468">
        <v>1.6106397538928381</v>
      </c>
      <c r="O2066" s="1468"/>
    </row>
    <row r="2067" spans="11:15">
      <c r="K2067" s="1465">
        <v>44124</v>
      </c>
      <c r="L2067" s="1466" t="s">
        <v>2125</v>
      </c>
      <c r="M2067" s="1467">
        <v>7.4689999999999999E-3</v>
      </c>
      <c r="N2067" s="1468">
        <v>1.6107600525760561</v>
      </c>
      <c r="O2067" s="1468"/>
    </row>
    <row r="2068" spans="11:15">
      <c r="K2068" s="1465">
        <v>44125</v>
      </c>
      <c r="L2068" s="1466" t="s">
        <v>2125</v>
      </c>
      <c r="M2068" s="1467">
        <v>7.4689999999999999E-3</v>
      </c>
      <c r="N2068" s="1468">
        <v>1.6108803602443829</v>
      </c>
      <c r="O2068" s="1468"/>
    </row>
    <row r="2069" spans="11:15">
      <c r="K2069" s="1465">
        <v>44126</v>
      </c>
      <c r="L2069" s="1466" t="s">
        <v>2125</v>
      </c>
      <c r="M2069" s="1467">
        <v>7.4689999999999999E-3</v>
      </c>
      <c r="N2069" s="1468">
        <v>1.6110006768984895</v>
      </c>
      <c r="O2069" s="1468"/>
    </row>
    <row r="2070" spans="11:15">
      <c r="K2070" s="1465">
        <v>44127</v>
      </c>
      <c r="L2070" s="1466" t="s">
        <v>2125</v>
      </c>
      <c r="M2070" s="1467">
        <v>7.4689999999999999E-3</v>
      </c>
      <c r="N2070" s="1468">
        <v>1.611121002539047</v>
      </c>
      <c r="O2070" s="1468"/>
    </row>
    <row r="2071" spans="11:15">
      <c r="K2071" s="1465">
        <v>44128</v>
      </c>
      <c r="L2071" s="1466"/>
      <c r="M2071" s="1467">
        <v>0</v>
      </c>
      <c r="N2071" s="1468">
        <v>1.611121002539047</v>
      </c>
      <c r="O2071" s="1468"/>
    </row>
    <row r="2072" spans="11:15">
      <c r="K2072" s="1465">
        <v>44129</v>
      </c>
      <c r="L2072" s="1466"/>
      <c r="M2072" s="1467">
        <v>0</v>
      </c>
      <c r="N2072" s="1468">
        <v>1.611121002539047</v>
      </c>
      <c r="O2072" s="1468"/>
    </row>
    <row r="2073" spans="11:15">
      <c r="K2073" s="1465">
        <v>44130</v>
      </c>
      <c r="L2073" s="1466" t="s">
        <v>2125</v>
      </c>
      <c r="M2073" s="1467">
        <v>7.4689999999999999E-3</v>
      </c>
      <c r="N2073" s="1468">
        <v>1.6112413371667265</v>
      </c>
      <c r="O2073" s="1468"/>
    </row>
    <row r="2074" spans="11:15">
      <c r="K2074" s="1465">
        <v>44131</v>
      </c>
      <c r="L2074" s="1466" t="s">
        <v>2125</v>
      </c>
      <c r="M2074" s="1467">
        <v>7.4689999999999999E-3</v>
      </c>
      <c r="N2074" s="1468">
        <v>1.6113616807821993</v>
      </c>
      <c r="O2074" s="1468"/>
    </row>
    <row r="2075" spans="11:15">
      <c r="K2075" s="1465">
        <v>44132</v>
      </c>
      <c r="L2075" s="1466" t="s">
        <v>2125</v>
      </c>
      <c r="M2075" s="1467">
        <v>7.4689999999999999E-3</v>
      </c>
      <c r="N2075" s="1468">
        <v>1.6114820333861368</v>
      </c>
      <c r="O2075" s="1468"/>
    </row>
    <row r="2076" spans="11:15">
      <c r="K2076" s="1465">
        <v>44133</v>
      </c>
      <c r="L2076" s="1466" t="s">
        <v>2125</v>
      </c>
      <c r="M2076" s="1467">
        <v>7.4689999999999999E-3</v>
      </c>
      <c r="N2076" s="1468">
        <v>1.6116023949792104</v>
      </c>
      <c r="O2076" s="1468"/>
    </row>
    <row r="2077" spans="11:15">
      <c r="K2077" s="1465">
        <v>44134</v>
      </c>
      <c r="L2077" s="1466" t="s">
        <v>2125</v>
      </c>
      <c r="M2077" s="1467">
        <v>7.4689999999999999E-3</v>
      </c>
      <c r="N2077" s="1468">
        <v>1.6117227655620914</v>
      </c>
      <c r="O2077" s="1468"/>
    </row>
    <row r="2078" spans="11:15">
      <c r="K2078" s="1465">
        <v>44135</v>
      </c>
      <c r="L2078" s="1466"/>
      <c r="M2078" s="1467">
        <v>0</v>
      </c>
      <c r="N2078" s="1468">
        <v>1.6117227655620914</v>
      </c>
      <c r="O2078" s="1468"/>
    </row>
    <row r="2079" spans="11:15">
      <c r="K2079" s="1465">
        <v>44136</v>
      </c>
      <c r="L2079" s="1466"/>
      <c r="M2079" s="1467">
        <v>0</v>
      </c>
      <c r="N2079" s="1468">
        <v>1.6117227655620914</v>
      </c>
      <c r="O2079" s="1468"/>
    </row>
    <row r="2080" spans="11:15">
      <c r="K2080" s="1465">
        <v>44137</v>
      </c>
      <c r="L2080" s="1466"/>
      <c r="M2080" s="1467">
        <v>0</v>
      </c>
      <c r="N2080" s="1468">
        <v>1.6117227655620914</v>
      </c>
      <c r="O2080" s="1468"/>
    </row>
    <row r="2081" spans="11:15">
      <c r="K2081" s="1465">
        <v>44138</v>
      </c>
      <c r="L2081" s="1466" t="s">
        <v>2125</v>
      </c>
      <c r="M2081" s="1467">
        <v>7.4689999999999999E-3</v>
      </c>
      <c r="N2081" s="1468">
        <v>1.6118431451354511</v>
      </c>
      <c r="O2081" s="1468"/>
    </row>
    <row r="2082" spans="11:15">
      <c r="K2082" s="1465">
        <v>44139</v>
      </c>
      <c r="L2082" s="1466" t="s">
        <v>2125</v>
      </c>
      <c r="M2082" s="1467">
        <v>7.4689999999999999E-3</v>
      </c>
      <c r="N2082" s="1468">
        <v>1.6119635336999611</v>
      </c>
      <c r="O2082" s="1468"/>
    </row>
    <row r="2083" spans="11:15">
      <c r="K2083" s="1465">
        <v>44140</v>
      </c>
      <c r="L2083" s="1466" t="s">
        <v>2125</v>
      </c>
      <c r="M2083" s="1467">
        <v>7.4689999999999999E-3</v>
      </c>
      <c r="N2083" s="1468">
        <v>1.6120839312562931</v>
      </c>
      <c r="O2083" s="1468"/>
    </row>
    <row r="2084" spans="11:15">
      <c r="K2084" s="1465">
        <v>44141</v>
      </c>
      <c r="L2084" s="1466" t="s">
        <v>2125</v>
      </c>
      <c r="M2084" s="1467">
        <v>7.4689999999999999E-3</v>
      </c>
      <c r="N2084" s="1468">
        <v>1.6122043378051185</v>
      </c>
      <c r="O2084" s="1468"/>
    </row>
    <row r="2085" spans="11:15">
      <c r="K2085" s="1465">
        <v>44142</v>
      </c>
      <c r="L2085" s="1466"/>
      <c r="M2085" s="1467">
        <v>0</v>
      </c>
      <c r="N2085" s="1468">
        <v>1.6122043378051185</v>
      </c>
      <c r="O2085" s="1468"/>
    </row>
    <row r="2086" spans="11:15">
      <c r="K2086" s="1465">
        <v>44143</v>
      </c>
      <c r="L2086" s="1466"/>
      <c r="M2086" s="1467">
        <v>0</v>
      </c>
      <c r="N2086" s="1468">
        <v>1.6122043378051185</v>
      </c>
      <c r="O2086" s="1468"/>
    </row>
    <row r="2087" spans="11:15">
      <c r="K2087" s="1465">
        <v>44144</v>
      </c>
      <c r="L2087" s="1466" t="s">
        <v>2125</v>
      </c>
      <c r="M2087" s="1467">
        <v>7.4689999999999999E-3</v>
      </c>
      <c r="N2087" s="1468">
        <v>1.612324753347109</v>
      </c>
      <c r="O2087" s="1468"/>
    </row>
    <row r="2088" spans="11:15">
      <c r="K2088" s="1465">
        <v>44145</v>
      </c>
      <c r="L2088" s="1466" t="s">
        <v>2125</v>
      </c>
      <c r="M2088" s="1467">
        <v>7.4689999999999999E-3</v>
      </c>
      <c r="N2088" s="1468">
        <v>1.6124451778829363</v>
      </c>
      <c r="O2088" s="1468"/>
    </row>
    <row r="2089" spans="11:15">
      <c r="K2089" s="1465">
        <v>44146</v>
      </c>
      <c r="L2089" s="1466" t="s">
        <v>2125</v>
      </c>
      <c r="M2089" s="1467">
        <v>7.4689999999999999E-3</v>
      </c>
      <c r="N2089" s="1468">
        <v>1.6125656114132723</v>
      </c>
      <c r="O2089" s="1468"/>
    </row>
    <row r="2090" spans="11:15">
      <c r="K2090" s="1465">
        <v>44147</v>
      </c>
      <c r="L2090" s="1466" t="s">
        <v>2125</v>
      </c>
      <c r="M2090" s="1467">
        <v>7.4689999999999999E-3</v>
      </c>
      <c r="N2090" s="1468">
        <v>1.6126860539387886</v>
      </c>
      <c r="O2090" s="1468"/>
    </row>
    <row r="2091" spans="11:15">
      <c r="K2091" s="1465">
        <v>44148</v>
      </c>
      <c r="L2091" s="1466" t="s">
        <v>2125</v>
      </c>
      <c r="M2091" s="1467">
        <v>7.4689999999999999E-3</v>
      </c>
      <c r="N2091" s="1468">
        <v>1.6128065054601572</v>
      </c>
      <c r="O2091" s="1468"/>
    </row>
    <row r="2092" spans="11:15">
      <c r="K2092" s="1465">
        <v>44149</v>
      </c>
      <c r="L2092" s="1466"/>
      <c r="M2092" s="1467">
        <v>0</v>
      </c>
      <c r="N2092" s="1468">
        <v>1.6128065054601572</v>
      </c>
      <c r="O2092" s="1468"/>
    </row>
    <row r="2093" spans="11:15">
      <c r="K2093" s="1465">
        <v>44150</v>
      </c>
      <c r="L2093" s="1466"/>
      <c r="M2093" s="1467">
        <v>0</v>
      </c>
      <c r="N2093" s="1468">
        <v>1.6128065054601572</v>
      </c>
      <c r="O2093" s="1468"/>
    </row>
    <row r="2094" spans="11:15">
      <c r="K2094" s="1465">
        <v>44151</v>
      </c>
      <c r="L2094" s="1466" t="s">
        <v>2125</v>
      </c>
      <c r="M2094" s="1467">
        <v>7.4689999999999999E-3</v>
      </c>
      <c r="N2094" s="1468">
        <v>1.6129269659780499</v>
      </c>
      <c r="O2094" s="1468"/>
    </row>
    <row r="2095" spans="11:15">
      <c r="K2095" s="1465">
        <v>44152</v>
      </c>
      <c r="L2095" s="1466" t="s">
        <v>2125</v>
      </c>
      <c r="M2095" s="1467">
        <v>7.4689999999999999E-3</v>
      </c>
      <c r="N2095" s="1468">
        <v>1.6130474354931386</v>
      </c>
      <c r="O2095" s="1468"/>
    </row>
    <row r="2096" spans="11:15">
      <c r="K2096" s="1465">
        <v>44153</v>
      </c>
      <c r="L2096" s="1466" t="s">
        <v>2125</v>
      </c>
      <c r="M2096" s="1467">
        <v>7.4689999999999999E-3</v>
      </c>
      <c r="N2096" s="1468">
        <v>1.6131679140060955</v>
      </c>
      <c r="O2096" s="1468"/>
    </row>
    <row r="2097" spans="11:15">
      <c r="K2097" s="1465">
        <v>44154</v>
      </c>
      <c r="L2097" s="1466" t="s">
        <v>2125</v>
      </c>
      <c r="M2097" s="1467">
        <v>7.4689999999999999E-3</v>
      </c>
      <c r="N2097" s="1468">
        <v>1.6132884015175926</v>
      </c>
      <c r="O2097" s="1468"/>
    </row>
    <row r="2098" spans="11:15">
      <c r="K2098" s="1465">
        <v>44155</v>
      </c>
      <c r="L2098" s="1466" t="s">
        <v>2125</v>
      </c>
      <c r="M2098" s="1467">
        <v>7.4689999999999999E-3</v>
      </c>
      <c r="N2098" s="1468">
        <v>1.6134088980283019</v>
      </c>
      <c r="O2098" s="1468"/>
    </row>
    <row r="2099" spans="11:15">
      <c r="K2099" s="1465">
        <v>44156</v>
      </c>
      <c r="L2099" s="1466"/>
      <c r="M2099" s="1467">
        <v>0</v>
      </c>
      <c r="N2099" s="1468">
        <v>1.6134088980283019</v>
      </c>
      <c r="O2099" s="1468"/>
    </row>
    <row r="2100" spans="11:15">
      <c r="K2100" s="1465">
        <v>44157</v>
      </c>
      <c r="L2100" s="1466"/>
      <c r="M2100" s="1467">
        <v>0</v>
      </c>
      <c r="N2100" s="1468">
        <v>1.6134088980283019</v>
      </c>
      <c r="O2100" s="1468"/>
    </row>
    <row r="2101" spans="11:15">
      <c r="K2101" s="1465">
        <v>44158</v>
      </c>
      <c r="L2101" s="1466" t="s">
        <v>2125</v>
      </c>
      <c r="M2101" s="1467">
        <v>7.4689999999999999E-3</v>
      </c>
      <c r="N2101" s="1468">
        <v>1.6135294035388956</v>
      </c>
      <c r="O2101" s="1468"/>
    </row>
    <row r="2102" spans="11:15">
      <c r="K2102" s="1465">
        <v>44159</v>
      </c>
      <c r="L2102" s="1466" t="s">
        <v>2125</v>
      </c>
      <c r="M2102" s="1467">
        <v>7.4689999999999999E-3</v>
      </c>
      <c r="N2102" s="1468">
        <v>1.6136499180500459</v>
      </c>
      <c r="O2102" s="1468"/>
    </row>
    <row r="2103" spans="11:15">
      <c r="K2103" s="1465">
        <v>44160</v>
      </c>
      <c r="L2103" s="1466" t="s">
        <v>2125</v>
      </c>
      <c r="M2103" s="1467">
        <v>7.4689999999999999E-3</v>
      </c>
      <c r="N2103" s="1468">
        <v>1.613770441562425</v>
      </c>
      <c r="O2103" s="1468"/>
    </row>
    <row r="2104" spans="11:15">
      <c r="K2104" s="1465">
        <v>44161</v>
      </c>
      <c r="L2104" s="1466" t="s">
        <v>2125</v>
      </c>
      <c r="M2104" s="1467">
        <v>7.4689999999999999E-3</v>
      </c>
      <c r="N2104" s="1468">
        <v>1.6138909740767051</v>
      </c>
      <c r="O2104" s="1468"/>
    </row>
    <row r="2105" spans="11:15">
      <c r="K2105" s="1465">
        <v>44162</v>
      </c>
      <c r="L2105" s="1466" t="s">
        <v>2125</v>
      </c>
      <c r="M2105" s="1467">
        <v>7.4689999999999999E-3</v>
      </c>
      <c r="N2105" s="1468">
        <v>1.6140115155935588</v>
      </c>
      <c r="O2105" s="1468"/>
    </row>
    <row r="2106" spans="11:15">
      <c r="K2106" s="1465">
        <v>44163</v>
      </c>
      <c r="L2106" s="1466"/>
      <c r="M2106" s="1467">
        <v>0</v>
      </c>
      <c r="N2106" s="1468">
        <v>1.6140115155935588</v>
      </c>
      <c r="O2106" s="1468"/>
    </row>
    <row r="2107" spans="11:15">
      <c r="K2107" s="1465">
        <v>44164</v>
      </c>
      <c r="L2107" s="1466"/>
      <c r="M2107" s="1467">
        <v>0</v>
      </c>
      <c r="N2107" s="1468">
        <v>1.6140115155935588</v>
      </c>
      <c r="O2107" s="1468"/>
    </row>
    <row r="2108" spans="11:15">
      <c r="K2108" s="1465">
        <v>44165</v>
      </c>
      <c r="L2108" s="1466" t="s">
        <v>2125</v>
      </c>
      <c r="M2108" s="1467">
        <v>7.4689999999999999E-3</v>
      </c>
      <c r="N2108" s="1468">
        <v>1.6141320661136584</v>
      </c>
      <c r="O2108" s="1468"/>
    </row>
    <row r="2109" spans="11:15">
      <c r="K2109" s="1465">
        <v>44166</v>
      </c>
      <c r="L2109" s="1466" t="s">
        <v>2125</v>
      </c>
      <c r="M2109" s="1467">
        <v>7.4689999999999999E-3</v>
      </c>
      <c r="N2109" s="1468">
        <v>1.6142526256376764</v>
      </c>
      <c r="O2109" s="1468"/>
    </row>
    <row r="2110" spans="11:15">
      <c r="K2110" s="1465">
        <v>44167</v>
      </c>
      <c r="L2110" s="1466" t="s">
        <v>2125</v>
      </c>
      <c r="M2110" s="1467">
        <v>7.4689999999999999E-3</v>
      </c>
      <c r="N2110" s="1468">
        <v>1.6143731941662851</v>
      </c>
      <c r="O2110" s="1468"/>
    </row>
    <row r="2111" spans="11:15">
      <c r="K2111" s="1465">
        <v>44168</v>
      </c>
      <c r="L2111" s="1466" t="s">
        <v>2125</v>
      </c>
      <c r="M2111" s="1467">
        <v>7.4689999999999999E-3</v>
      </c>
      <c r="N2111" s="1468">
        <v>1.6144937717001573</v>
      </c>
      <c r="O2111" s="1468"/>
    </row>
    <row r="2112" spans="11:15">
      <c r="K2112" s="1465">
        <v>44169</v>
      </c>
      <c r="L2112" s="1466" t="s">
        <v>2125</v>
      </c>
      <c r="M2112" s="1467">
        <v>7.4689999999999999E-3</v>
      </c>
      <c r="N2112" s="1468">
        <v>1.6146143582399655</v>
      </c>
      <c r="O2112" s="1468"/>
    </row>
    <row r="2113" spans="11:15">
      <c r="K2113" s="1465">
        <v>44170</v>
      </c>
      <c r="L2113" s="1466"/>
      <c r="M2113" s="1467">
        <v>0</v>
      </c>
      <c r="N2113" s="1468">
        <v>1.6146143582399655</v>
      </c>
      <c r="O2113" s="1468"/>
    </row>
    <row r="2114" spans="11:15">
      <c r="K2114" s="1465">
        <v>44171</v>
      </c>
      <c r="L2114" s="1466"/>
      <c r="M2114" s="1467">
        <v>0</v>
      </c>
      <c r="N2114" s="1468">
        <v>1.6146143582399655</v>
      </c>
      <c r="O2114" s="1468"/>
    </row>
    <row r="2115" spans="11:15">
      <c r="K2115" s="1465">
        <v>44172</v>
      </c>
      <c r="L2115" s="1466" t="s">
        <v>2125</v>
      </c>
      <c r="M2115" s="1467">
        <v>7.4689999999999999E-3</v>
      </c>
      <c r="N2115" s="1468">
        <v>1.6147349537863822</v>
      </c>
      <c r="O2115" s="1468"/>
    </row>
    <row r="2116" spans="11:15">
      <c r="K2116" s="1465">
        <v>44173</v>
      </c>
      <c r="L2116" s="1466" t="s">
        <v>2125</v>
      </c>
      <c r="M2116" s="1467">
        <v>7.4689999999999999E-3</v>
      </c>
      <c r="N2116" s="1468">
        <v>1.6148555583400803</v>
      </c>
      <c r="O2116" s="1468"/>
    </row>
    <row r="2117" spans="11:15">
      <c r="K2117" s="1465">
        <v>44174</v>
      </c>
      <c r="L2117" s="1466" t="s">
        <v>2125</v>
      </c>
      <c r="M2117" s="1467">
        <v>7.4689999999999999E-3</v>
      </c>
      <c r="N2117" s="1468">
        <v>1.6149761719017326</v>
      </c>
      <c r="O2117" s="1468"/>
    </row>
    <row r="2118" spans="11:15">
      <c r="K2118" s="1465">
        <v>44175</v>
      </c>
      <c r="L2118" s="1466" t="s">
        <v>2125</v>
      </c>
      <c r="M2118" s="1467">
        <v>7.4689999999999999E-3</v>
      </c>
      <c r="N2118" s="1468">
        <v>1.6150967944720118</v>
      </c>
      <c r="O2118" s="1468"/>
    </row>
    <row r="2119" spans="11:15">
      <c r="K2119" s="1465">
        <v>44176</v>
      </c>
      <c r="L2119" s="1466" t="s">
        <v>2125</v>
      </c>
      <c r="M2119" s="1467">
        <v>7.4689999999999999E-3</v>
      </c>
      <c r="N2119" s="1468">
        <v>1.6152174260515908</v>
      </c>
      <c r="O2119" s="1468"/>
    </row>
    <row r="2120" spans="11:15">
      <c r="K2120" s="1465">
        <v>44177</v>
      </c>
      <c r="L2120" s="1466"/>
      <c r="M2120" s="1467">
        <v>0</v>
      </c>
      <c r="N2120" s="1468">
        <v>1.6152174260515908</v>
      </c>
      <c r="O2120" s="1468"/>
    </row>
    <row r="2121" spans="11:15">
      <c r="K2121" s="1465">
        <v>44178</v>
      </c>
      <c r="L2121" s="1466"/>
      <c r="M2121" s="1467">
        <v>0</v>
      </c>
      <c r="N2121" s="1468">
        <v>1.6152174260515908</v>
      </c>
      <c r="O2121" s="1468"/>
    </row>
    <row r="2122" spans="11:15">
      <c r="K2122" s="1465">
        <v>44179</v>
      </c>
      <c r="L2122" s="1466" t="s">
        <v>2125</v>
      </c>
      <c r="M2122" s="1467">
        <v>7.4689999999999999E-3</v>
      </c>
      <c r="N2122" s="1468">
        <v>1.6153380666411425</v>
      </c>
      <c r="O2122" s="1468"/>
    </row>
    <row r="2123" spans="11:15">
      <c r="K2123" s="1465">
        <v>44180</v>
      </c>
      <c r="L2123" s="1466" t="s">
        <v>2125</v>
      </c>
      <c r="M2123" s="1467">
        <v>7.4689999999999999E-3</v>
      </c>
      <c r="N2123" s="1468">
        <v>1.6154587162413399</v>
      </c>
      <c r="O2123" s="1468"/>
    </row>
    <row r="2124" spans="11:15">
      <c r="K2124" s="1465">
        <v>44181</v>
      </c>
      <c r="L2124" s="1466" t="s">
        <v>2125</v>
      </c>
      <c r="M2124" s="1467">
        <v>7.4689999999999999E-3</v>
      </c>
      <c r="N2124" s="1468">
        <v>1.6155793748528557</v>
      </c>
      <c r="O2124" s="1468"/>
    </row>
    <row r="2125" spans="11:15">
      <c r="K2125" s="1465">
        <v>44182</v>
      </c>
      <c r="L2125" s="1466" t="s">
        <v>2125</v>
      </c>
      <c r="M2125" s="1467">
        <v>7.4689999999999999E-3</v>
      </c>
      <c r="N2125" s="1468">
        <v>1.6157000424763635</v>
      </c>
      <c r="O2125" s="1468"/>
    </row>
    <row r="2126" spans="11:15">
      <c r="K2126" s="1465">
        <v>44183</v>
      </c>
      <c r="L2126" s="1466" t="s">
        <v>2125</v>
      </c>
      <c r="M2126" s="1467">
        <v>7.4689999999999999E-3</v>
      </c>
      <c r="N2126" s="1468">
        <v>1.615820719112536</v>
      </c>
      <c r="O2126" s="1468"/>
    </row>
    <row r="2127" spans="11:15">
      <c r="K2127" s="1465">
        <v>44184</v>
      </c>
      <c r="L2127" s="1466"/>
      <c r="M2127" s="1467">
        <v>0</v>
      </c>
      <c r="N2127" s="1468">
        <v>1.615820719112536</v>
      </c>
      <c r="O2127" s="1468"/>
    </row>
    <row r="2128" spans="11:15">
      <c r="K2128" s="1465">
        <v>44185</v>
      </c>
      <c r="L2128" s="1466"/>
      <c r="M2128" s="1467">
        <v>0</v>
      </c>
      <c r="N2128" s="1468">
        <v>1.615820719112536</v>
      </c>
      <c r="O2128" s="1468"/>
    </row>
    <row r="2129" spans="11:15">
      <c r="K2129" s="1465">
        <v>44186</v>
      </c>
      <c r="L2129" s="1466" t="s">
        <v>2125</v>
      </c>
      <c r="M2129" s="1467">
        <v>7.4689999999999999E-3</v>
      </c>
      <c r="N2129" s="1468">
        <v>1.6159414047620464</v>
      </c>
      <c r="O2129" s="1468"/>
    </row>
    <row r="2130" spans="11:15">
      <c r="K2130" s="1465">
        <v>44187</v>
      </c>
      <c r="L2130" s="1466" t="s">
        <v>2125</v>
      </c>
      <c r="M2130" s="1467">
        <v>7.4689999999999999E-3</v>
      </c>
      <c r="N2130" s="1468">
        <v>1.6160620994255679</v>
      </c>
      <c r="O2130" s="1468"/>
    </row>
    <row r="2131" spans="11:15">
      <c r="K2131" s="1465">
        <v>44188</v>
      </c>
      <c r="L2131" s="1466" t="s">
        <v>2125</v>
      </c>
      <c r="M2131" s="1467">
        <v>7.4689999999999999E-3</v>
      </c>
      <c r="N2131" s="1468">
        <v>1.6161828031037739</v>
      </c>
      <c r="O2131" s="1468"/>
    </row>
    <row r="2132" spans="11:15">
      <c r="K2132" s="1465">
        <v>44189</v>
      </c>
      <c r="L2132" s="1466" t="s">
        <v>2125</v>
      </c>
      <c r="M2132" s="1467">
        <v>7.4689999999999999E-3</v>
      </c>
      <c r="N2132" s="1468">
        <v>1.6163035157973376</v>
      </c>
      <c r="O2132" s="1468"/>
    </row>
    <row r="2133" spans="11:15">
      <c r="K2133" s="1465">
        <v>44190</v>
      </c>
      <c r="L2133" s="1466"/>
      <c r="M2133" s="1467">
        <v>0</v>
      </c>
      <c r="N2133" s="1468">
        <v>1.6163035157973376</v>
      </c>
      <c r="O2133" s="1468"/>
    </row>
    <row r="2134" spans="11:15">
      <c r="K2134" s="1465">
        <v>44191</v>
      </c>
      <c r="L2134" s="1466"/>
      <c r="M2134" s="1467">
        <v>0</v>
      </c>
      <c r="N2134" s="1468">
        <v>1.6163035157973376</v>
      </c>
      <c r="O2134" s="1468"/>
    </row>
    <row r="2135" spans="11:15">
      <c r="K2135" s="1465">
        <v>44192</v>
      </c>
      <c r="L2135" s="1466"/>
      <c r="M2135" s="1467">
        <v>0</v>
      </c>
      <c r="N2135" s="1468">
        <v>1.6163035157973376</v>
      </c>
      <c r="O2135" s="1468"/>
    </row>
    <row r="2136" spans="11:15">
      <c r="K2136" s="1465">
        <v>44193</v>
      </c>
      <c r="L2136" s="1466" t="s">
        <v>2125</v>
      </c>
      <c r="M2136" s="1467">
        <v>7.4689999999999999E-3</v>
      </c>
      <c r="N2136" s="1468">
        <v>1.6164242375069324</v>
      </c>
      <c r="O2136" s="1468"/>
    </row>
    <row r="2137" spans="11:15">
      <c r="K2137" s="1465">
        <v>44194</v>
      </c>
      <c r="L2137" s="1466" t="s">
        <v>2125</v>
      </c>
      <c r="M2137" s="1467">
        <v>7.4689999999999999E-3</v>
      </c>
      <c r="N2137" s="1468">
        <v>1.6165449682332318</v>
      </c>
      <c r="O2137" s="1468"/>
    </row>
    <row r="2138" spans="11:15">
      <c r="K2138" s="1465">
        <v>44195</v>
      </c>
      <c r="L2138" s="1466" t="s">
        <v>2125</v>
      </c>
      <c r="M2138" s="1467">
        <v>7.4689999999999999E-3</v>
      </c>
      <c r="N2138" s="1468">
        <v>1.6166657079769091</v>
      </c>
      <c r="O2138" s="1468"/>
    </row>
    <row r="2139" spans="11:15">
      <c r="K2139" s="1465">
        <v>44196</v>
      </c>
      <c r="L2139" s="1466" t="s">
        <v>2125</v>
      </c>
      <c r="M2139" s="1467">
        <v>7.4689999999999999E-3</v>
      </c>
      <c r="N2139" s="1468">
        <v>1.6167864567386379</v>
      </c>
      <c r="O2139" s="1468"/>
    </row>
    <row r="2140" spans="11:15">
      <c r="K2140" s="1465">
        <v>44197</v>
      </c>
      <c r="L2140" s="1466"/>
      <c r="M2140" s="1467">
        <v>0</v>
      </c>
      <c r="N2140" s="1468">
        <v>1.6167864567386379</v>
      </c>
      <c r="O2140" s="1468"/>
    </row>
    <row r="2141" spans="11:15">
      <c r="K2141" s="1465">
        <v>44198</v>
      </c>
      <c r="L2141" s="1466"/>
      <c r="M2141" s="1467">
        <v>0</v>
      </c>
      <c r="N2141" s="1468">
        <v>1.6167864567386379</v>
      </c>
      <c r="O2141" s="1468"/>
    </row>
    <row r="2142" spans="11:15">
      <c r="K2142" s="1465">
        <v>44199</v>
      </c>
      <c r="L2142" s="1466"/>
      <c r="M2142" s="1467">
        <v>0</v>
      </c>
      <c r="N2142" s="1468">
        <v>1.6167864567386379</v>
      </c>
      <c r="O2142" s="1468"/>
    </row>
    <row r="2143" spans="11:15">
      <c r="K2143" s="1465">
        <v>44200</v>
      </c>
      <c r="L2143" s="1466" t="s">
        <v>2125</v>
      </c>
      <c r="M2143" s="1467">
        <v>7.4689999999999999E-3</v>
      </c>
      <c r="N2143" s="1468">
        <v>1.6169072145190915</v>
      </c>
      <c r="O2143" s="1468"/>
    </row>
    <row r="2144" spans="11:15">
      <c r="K2144" s="1465">
        <v>44201</v>
      </c>
      <c r="L2144" s="1466" t="s">
        <v>2125</v>
      </c>
      <c r="M2144" s="1467">
        <v>7.4689999999999999E-3</v>
      </c>
      <c r="N2144" s="1468">
        <v>1.6170279813189439</v>
      </c>
      <c r="O2144" s="1468"/>
    </row>
    <row r="2145" spans="11:15">
      <c r="K2145" s="1465">
        <v>44202</v>
      </c>
      <c r="L2145" s="1466" t="s">
        <v>2125</v>
      </c>
      <c r="M2145" s="1467">
        <v>7.4689999999999999E-3</v>
      </c>
      <c r="N2145" s="1468">
        <v>1.6171487571388685</v>
      </c>
      <c r="O2145" s="1468"/>
    </row>
    <row r="2146" spans="11:15">
      <c r="K2146" s="1465">
        <v>44203</v>
      </c>
      <c r="L2146" s="1466" t="s">
        <v>2125</v>
      </c>
      <c r="M2146" s="1467">
        <v>7.4689999999999999E-3</v>
      </c>
      <c r="N2146" s="1468">
        <v>1.6172695419795391</v>
      </c>
      <c r="O2146" s="1468"/>
    </row>
    <row r="2147" spans="11:15">
      <c r="K2147" s="1465">
        <v>44204</v>
      </c>
      <c r="L2147" s="1466" t="s">
        <v>2125</v>
      </c>
      <c r="M2147" s="1467">
        <v>7.4689999999999999E-3</v>
      </c>
      <c r="N2147" s="1468">
        <v>1.6173903358416295</v>
      </c>
      <c r="O2147" s="1468"/>
    </row>
    <row r="2148" spans="11:15">
      <c r="K2148" s="1465">
        <v>44205</v>
      </c>
      <c r="L2148" s="1466"/>
      <c r="M2148" s="1467">
        <v>0</v>
      </c>
      <c r="N2148" s="1468">
        <v>1.6173903358416295</v>
      </c>
      <c r="O2148" s="1468"/>
    </row>
    <row r="2149" spans="11:15">
      <c r="K2149" s="1465">
        <v>44206</v>
      </c>
      <c r="L2149" s="1466"/>
      <c r="M2149" s="1467">
        <v>0</v>
      </c>
      <c r="N2149" s="1468">
        <v>1.6173903358416295</v>
      </c>
      <c r="O2149" s="1468"/>
    </row>
    <row r="2150" spans="11:15">
      <c r="K2150" s="1465">
        <v>44207</v>
      </c>
      <c r="L2150" s="1466" t="s">
        <v>2125</v>
      </c>
      <c r="M2150" s="1467">
        <v>7.4689999999999999E-3</v>
      </c>
      <c r="N2150" s="1468">
        <v>1.6175111387258134</v>
      </c>
      <c r="O2150" s="1468"/>
    </row>
    <row r="2151" spans="11:15">
      <c r="K2151" s="1465">
        <v>44208</v>
      </c>
      <c r="L2151" s="1466" t="s">
        <v>2125</v>
      </c>
      <c r="M2151" s="1467">
        <v>7.4689999999999999E-3</v>
      </c>
      <c r="N2151" s="1468">
        <v>1.6176319506327648</v>
      </c>
      <c r="O2151" s="1468"/>
    </row>
    <row r="2152" spans="11:15">
      <c r="K2152" s="1465">
        <v>44209</v>
      </c>
      <c r="L2152" s="1466" t="s">
        <v>2125</v>
      </c>
      <c r="M2152" s="1467">
        <v>7.4689999999999999E-3</v>
      </c>
      <c r="N2152" s="1468">
        <v>1.6177527715631574</v>
      </c>
      <c r="O2152" s="1468"/>
    </row>
    <row r="2153" spans="11:15">
      <c r="K2153" s="1465">
        <v>44210</v>
      </c>
      <c r="L2153" s="1466" t="s">
        <v>2125</v>
      </c>
      <c r="M2153" s="1467">
        <v>7.4689999999999999E-3</v>
      </c>
      <c r="N2153" s="1468">
        <v>1.6178736015176653</v>
      </c>
      <c r="O2153" s="1468"/>
    </row>
    <row r="2154" spans="11:15">
      <c r="K2154" s="1465">
        <v>44211</v>
      </c>
      <c r="L2154" s="1466" t="s">
        <v>2125</v>
      </c>
      <c r="M2154" s="1467">
        <v>7.4689999999999999E-3</v>
      </c>
      <c r="N2154" s="1468">
        <v>1.6179944404969626</v>
      </c>
      <c r="O2154" s="1468"/>
    </row>
    <row r="2155" spans="11:15">
      <c r="K2155" s="1465">
        <v>44212</v>
      </c>
      <c r="L2155" s="1466"/>
      <c r="M2155" s="1467">
        <v>0</v>
      </c>
      <c r="N2155" s="1468">
        <v>1.6179944404969626</v>
      </c>
      <c r="O2155" s="1468"/>
    </row>
    <row r="2156" spans="11:15">
      <c r="K2156" s="1465">
        <v>44213</v>
      </c>
      <c r="L2156" s="1466"/>
      <c r="M2156" s="1467">
        <v>0</v>
      </c>
      <c r="N2156" s="1468">
        <v>1.6179944404969626</v>
      </c>
      <c r="O2156" s="1468"/>
    </row>
    <row r="2157" spans="11:15">
      <c r="K2157" s="1465">
        <v>44214</v>
      </c>
      <c r="L2157" s="1466" t="s">
        <v>2125</v>
      </c>
      <c r="M2157" s="1467">
        <v>7.4689999999999999E-3</v>
      </c>
      <c r="N2157" s="1468">
        <v>1.6181152885017231</v>
      </c>
      <c r="O2157" s="1468"/>
    </row>
    <row r="2158" spans="11:15">
      <c r="K2158" s="1465">
        <v>44215</v>
      </c>
      <c r="L2158" s="1466" t="s">
        <v>2125</v>
      </c>
      <c r="M2158" s="1467">
        <v>7.4689999999999999E-3</v>
      </c>
      <c r="N2158" s="1468">
        <v>1.6182361455326213</v>
      </c>
      <c r="O2158" s="1468"/>
    </row>
    <row r="2159" spans="11:15">
      <c r="K2159" s="1465">
        <v>44216</v>
      </c>
      <c r="L2159" s="1466" t="s">
        <v>2125</v>
      </c>
      <c r="M2159" s="1467">
        <v>7.4689999999999999E-3</v>
      </c>
      <c r="N2159" s="1468">
        <v>1.618357011590331</v>
      </c>
      <c r="O2159" s="1468"/>
    </row>
    <row r="2160" spans="11:15">
      <c r="K2160" s="1465">
        <v>44217</v>
      </c>
      <c r="L2160" s="1466" t="s">
        <v>2125</v>
      </c>
      <c r="M2160" s="1467">
        <v>7.4689999999999999E-3</v>
      </c>
      <c r="N2160" s="1468">
        <v>1.6184778866755265</v>
      </c>
      <c r="O2160" s="1468"/>
    </row>
    <row r="2161" spans="11:15">
      <c r="K2161" s="1465">
        <v>44218</v>
      </c>
      <c r="L2161" s="1466" t="s">
        <v>2125</v>
      </c>
      <c r="M2161" s="1467">
        <v>7.4689999999999999E-3</v>
      </c>
      <c r="N2161" s="1468">
        <v>1.6185987707888823</v>
      </c>
      <c r="O2161" s="1468"/>
    </row>
    <row r="2162" spans="11:15">
      <c r="K2162" s="1465">
        <v>44219</v>
      </c>
      <c r="L2162" s="1466"/>
      <c r="M2162" s="1467">
        <v>0</v>
      </c>
      <c r="N2162" s="1468">
        <v>1.6185987707888823</v>
      </c>
      <c r="O2162" s="1468"/>
    </row>
    <row r="2163" spans="11:15">
      <c r="K2163" s="1465">
        <v>44220</v>
      </c>
      <c r="L2163" s="1466"/>
      <c r="M2163" s="1467">
        <v>0</v>
      </c>
      <c r="N2163" s="1468">
        <v>1.6185987707888823</v>
      </c>
      <c r="O2163" s="1468"/>
    </row>
    <row r="2164" spans="11:15">
      <c r="K2164" s="1465">
        <v>44221</v>
      </c>
      <c r="L2164" s="1466" t="s">
        <v>2125</v>
      </c>
      <c r="M2164" s="1467">
        <v>7.4689999999999999E-3</v>
      </c>
      <c r="N2164" s="1468">
        <v>1.6187196639310724</v>
      </c>
      <c r="O2164" s="1468"/>
    </row>
    <row r="2165" spans="11:15">
      <c r="K2165" s="1465">
        <v>44222</v>
      </c>
      <c r="L2165" s="1466" t="s">
        <v>2125</v>
      </c>
      <c r="M2165" s="1467">
        <v>7.4689999999999999E-3</v>
      </c>
      <c r="N2165" s="1468">
        <v>1.6188405661027712</v>
      </c>
      <c r="O2165" s="1468"/>
    </row>
    <row r="2166" spans="11:15">
      <c r="K2166" s="1465">
        <v>44223</v>
      </c>
      <c r="L2166" s="1466" t="s">
        <v>2125</v>
      </c>
      <c r="M2166" s="1467">
        <v>7.4689999999999999E-3</v>
      </c>
      <c r="N2166" s="1468">
        <v>1.6189614773046532</v>
      </c>
      <c r="O2166" s="1468"/>
    </row>
    <row r="2167" spans="11:15">
      <c r="K2167" s="1465">
        <v>44224</v>
      </c>
      <c r="L2167" s="1466" t="s">
        <v>2125</v>
      </c>
      <c r="M2167" s="1467">
        <v>7.4689999999999999E-3</v>
      </c>
      <c r="N2167" s="1468">
        <v>1.6190823975373929</v>
      </c>
      <c r="O2167" s="1468"/>
    </row>
    <row r="2168" spans="11:15">
      <c r="K2168" s="1465">
        <v>44225</v>
      </c>
      <c r="L2168" s="1466" t="s">
        <v>2125</v>
      </c>
      <c r="M2168" s="1467">
        <v>7.4689999999999999E-3</v>
      </c>
      <c r="N2168" s="1468">
        <v>1.6192033268016648</v>
      </c>
      <c r="O2168" s="1468"/>
    </row>
    <row r="2169" spans="11:15">
      <c r="K2169" s="1465">
        <v>44226</v>
      </c>
      <c r="L2169" s="1466"/>
      <c r="M2169" s="1467">
        <v>0</v>
      </c>
      <c r="N2169" s="1468">
        <v>1.6192033268016648</v>
      </c>
      <c r="O2169" s="1468"/>
    </row>
    <row r="2170" spans="11:15">
      <c r="K2170" s="1465">
        <v>44227</v>
      </c>
      <c r="L2170" s="1466"/>
      <c r="M2170" s="1467">
        <v>0</v>
      </c>
      <c r="N2170" s="1468">
        <v>1.6192033268016648</v>
      </c>
      <c r="O2170" s="1468"/>
    </row>
    <row r="2171" spans="11:15">
      <c r="K2171" s="1465">
        <v>44228</v>
      </c>
      <c r="L2171" s="1466" t="s">
        <v>2125</v>
      </c>
      <c r="M2171" s="1467">
        <v>7.4689999999999999E-3</v>
      </c>
      <c r="N2171" s="1468">
        <v>1.6193242650981434</v>
      </c>
      <c r="O2171" s="1468"/>
    </row>
    <row r="2172" spans="11:15">
      <c r="K2172" s="1465">
        <v>44229</v>
      </c>
      <c r="L2172" s="1466" t="s">
        <v>2125</v>
      </c>
      <c r="M2172" s="1467">
        <v>7.4689999999999999E-3</v>
      </c>
      <c r="N2172" s="1468">
        <v>1.6194452124275034</v>
      </c>
      <c r="O2172" s="1468"/>
    </row>
    <row r="2173" spans="11:15">
      <c r="K2173" s="1465">
        <v>44230</v>
      </c>
      <c r="L2173" s="1466" t="s">
        <v>2125</v>
      </c>
      <c r="M2173" s="1467">
        <v>7.4689999999999999E-3</v>
      </c>
      <c r="N2173" s="1468">
        <v>1.6195661687904195</v>
      </c>
      <c r="O2173" s="1468"/>
    </row>
    <row r="2174" spans="11:15">
      <c r="K2174" s="1465">
        <v>44231</v>
      </c>
      <c r="L2174" s="1466" t="s">
        <v>2125</v>
      </c>
      <c r="M2174" s="1467">
        <v>7.4689999999999999E-3</v>
      </c>
      <c r="N2174" s="1468">
        <v>1.6196871341875663</v>
      </c>
      <c r="O2174" s="1468"/>
    </row>
    <row r="2175" spans="11:15">
      <c r="K2175" s="1465">
        <v>44232</v>
      </c>
      <c r="L2175" s="1466" t="s">
        <v>2125</v>
      </c>
      <c r="M2175" s="1467">
        <v>7.4689999999999999E-3</v>
      </c>
      <c r="N2175" s="1468">
        <v>1.6198081086196185</v>
      </c>
      <c r="O2175" s="1468"/>
    </row>
    <row r="2176" spans="11:15">
      <c r="K2176" s="1465">
        <v>44233</v>
      </c>
      <c r="L2176" s="1466"/>
      <c r="M2176" s="1467">
        <v>0</v>
      </c>
      <c r="N2176" s="1468">
        <v>1.6198081086196185</v>
      </c>
      <c r="O2176" s="1468"/>
    </row>
    <row r="2177" spans="11:15">
      <c r="K2177" s="1465">
        <v>44234</v>
      </c>
      <c r="L2177" s="1466"/>
      <c r="M2177" s="1467">
        <v>0</v>
      </c>
      <c r="N2177" s="1468">
        <v>1.6198081086196185</v>
      </c>
      <c r="O2177" s="1468"/>
    </row>
    <row r="2178" spans="11:15">
      <c r="K2178" s="1465">
        <v>44235</v>
      </c>
      <c r="L2178" s="1466" t="s">
        <v>2125</v>
      </c>
      <c r="M2178" s="1467">
        <v>7.4689999999999999E-3</v>
      </c>
      <c r="N2178" s="1468">
        <v>1.6199290920872513</v>
      </c>
      <c r="O2178" s="1468"/>
    </row>
    <row r="2179" spans="11:15">
      <c r="K2179" s="1465">
        <v>44236</v>
      </c>
      <c r="L2179" s="1466" t="s">
        <v>2125</v>
      </c>
      <c r="M2179" s="1467">
        <v>7.4689999999999999E-3</v>
      </c>
      <c r="N2179" s="1468">
        <v>1.6200500845911392</v>
      </c>
      <c r="O2179" s="1468"/>
    </row>
    <row r="2180" spans="11:15">
      <c r="K2180" s="1465">
        <v>44237</v>
      </c>
      <c r="L2180" s="1466" t="s">
        <v>2125</v>
      </c>
      <c r="M2180" s="1467">
        <v>7.4689999999999999E-3</v>
      </c>
      <c r="N2180" s="1468">
        <v>1.6201710861319571</v>
      </c>
      <c r="O2180" s="1468"/>
    </row>
    <row r="2181" spans="11:15">
      <c r="K2181" s="1465">
        <v>44238</v>
      </c>
      <c r="L2181" s="1466" t="s">
        <v>2125</v>
      </c>
      <c r="M2181" s="1467">
        <v>7.4689999999999999E-3</v>
      </c>
      <c r="N2181" s="1468">
        <v>1.6202920967103802</v>
      </c>
      <c r="O2181" s="1468"/>
    </row>
    <row r="2182" spans="11:15">
      <c r="K2182" s="1465">
        <v>44239</v>
      </c>
      <c r="L2182" s="1466" t="s">
        <v>2125</v>
      </c>
      <c r="M2182" s="1467">
        <v>7.4689999999999999E-3</v>
      </c>
      <c r="N2182" s="1468">
        <v>1.6204131163270834</v>
      </c>
      <c r="O2182" s="1468"/>
    </row>
    <row r="2183" spans="11:15">
      <c r="K2183" s="1465">
        <v>44240</v>
      </c>
      <c r="L2183" s="1466"/>
      <c r="M2183" s="1467">
        <v>0</v>
      </c>
      <c r="N2183" s="1468">
        <v>1.6204131163270834</v>
      </c>
      <c r="O2183" s="1468"/>
    </row>
    <row r="2184" spans="11:15">
      <c r="K2184" s="1465">
        <v>44241</v>
      </c>
      <c r="L2184" s="1466"/>
      <c r="M2184" s="1467">
        <v>0</v>
      </c>
      <c r="N2184" s="1468">
        <v>1.6204131163270834</v>
      </c>
      <c r="O2184" s="1468"/>
    </row>
    <row r="2185" spans="11:15">
      <c r="K2185" s="1465">
        <v>44242</v>
      </c>
      <c r="L2185" s="1466"/>
      <c r="M2185" s="1467">
        <v>0</v>
      </c>
      <c r="N2185" s="1468">
        <v>1.6204131163270834</v>
      </c>
      <c r="O2185" s="1468"/>
    </row>
    <row r="2186" spans="11:15">
      <c r="K2186" s="1465">
        <v>44243</v>
      </c>
      <c r="L2186" s="1466"/>
      <c r="M2186" s="1467">
        <v>0</v>
      </c>
      <c r="N2186" s="1468">
        <v>1.6204131163270834</v>
      </c>
      <c r="O2186" s="1468"/>
    </row>
    <row r="2187" spans="11:15">
      <c r="K2187" s="1465">
        <v>44244</v>
      </c>
      <c r="L2187" s="1466" t="s">
        <v>2125</v>
      </c>
      <c r="M2187" s="1467">
        <v>7.4689999999999999E-3</v>
      </c>
      <c r="N2187" s="1468">
        <v>1.6205341449827417</v>
      </c>
      <c r="O2187" s="1468"/>
    </row>
    <row r="2188" spans="11:15">
      <c r="K2188" s="1465">
        <v>44245</v>
      </c>
      <c r="L2188" s="1466" t="s">
        <v>2125</v>
      </c>
      <c r="M2188" s="1467">
        <v>7.4689999999999999E-3</v>
      </c>
      <c r="N2188" s="1468">
        <v>1.6206551826780304</v>
      </c>
      <c r="O2188" s="1468"/>
    </row>
    <row r="2189" spans="11:15">
      <c r="K2189" s="1465">
        <v>44246</v>
      </c>
      <c r="L2189" s="1466" t="s">
        <v>2125</v>
      </c>
      <c r="M2189" s="1467">
        <v>7.4689999999999999E-3</v>
      </c>
      <c r="N2189" s="1468">
        <v>1.6207762294136245</v>
      </c>
      <c r="O2189" s="1468"/>
    </row>
    <row r="2190" spans="11:15">
      <c r="K2190" s="1465">
        <v>44247</v>
      </c>
      <c r="L2190" s="1466"/>
      <c r="M2190" s="1467">
        <v>0</v>
      </c>
      <c r="N2190" s="1468">
        <v>1.6207762294136245</v>
      </c>
      <c r="O2190" s="1468"/>
    </row>
    <row r="2191" spans="11:15">
      <c r="K2191" s="1465">
        <v>44248</v>
      </c>
      <c r="L2191" s="1466"/>
      <c r="M2191" s="1467">
        <v>0</v>
      </c>
      <c r="N2191" s="1468">
        <v>1.6207762294136245</v>
      </c>
      <c r="O2191" s="1468"/>
    </row>
    <row r="2192" spans="11:15">
      <c r="K2192" s="1465">
        <v>44249</v>
      </c>
      <c r="L2192" s="1466" t="s">
        <v>2125</v>
      </c>
      <c r="M2192" s="1467">
        <v>7.4689999999999999E-3</v>
      </c>
      <c r="N2192" s="1468">
        <v>1.6208972851901993</v>
      </c>
      <c r="O2192" s="1468"/>
    </row>
    <row r="2193" spans="11:15">
      <c r="K2193" s="1465">
        <v>44250</v>
      </c>
      <c r="L2193" s="1466" t="s">
        <v>2125</v>
      </c>
      <c r="M2193" s="1467">
        <v>7.4689999999999999E-3</v>
      </c>
      <c r="N2193" s="1468">
        <v>1.6210183500084301</v>
      </c>
      <c r="O2193" s="1468"/>
    </row>
    <row r="2194" spans="11:15">
      <c r="K2194" s="1465">
        <v>44251</v>
      </c>
      <c r="L2194" s="1466" t="s">
        <v>2125</v>
      </c>
      <c r="M2194" s="1467">
        <v>7.4689999999999999E-3</v>
      </c>
      <c r="N2194" s="1468">
        <v>1.621139423868992</v>
      </c>
      <c r="O2194" s="1468"/>
    </row>
    <row r="2195" spans="11:15">
      <c r="K2195" s="1465">
        <v>44252</v>
      </c>
      <c r="L2195" s="1466" t="s">
        <v>2125</v>
      </c>
      <c r="M2195" s="1467">
        <v>7.4689999999999999E-3</v>
      </c>
      <c r="N2195" s="1468">
        <v>1.6212605067725607</v>
      </c>
      <c r="O2195" s="1468"/>
    </row>
    <row r="2196" spans="11:15">
      <c r="K2196" s="1465">
        <v>44253</v>
      </c>
      <c r="L2196" s="1466" t="s">
        <v>2125</v>
      </c>
      <c r="M2196" s="1467">
        <v>7.4689999999999999E-3</v>
      </c>
      <c r="N2196" s="1468">
        <v>1.6213815987198115</v>
      </c>
      <c r="O2196" s="1468"/>
    </row>
    <row r="2197" spans="11:15">
      <c r="K2197" s="1465">
        <v>44254</v>
      </c>
      <c r="L2197" s="1466"/>
      <c r="M2197" s="1467">
        <v>0</v>
      </c>
      <c r="N2197" s="1468">
        <v>1.6213815987198115</v>
      </c>
      <c r="O2197" s="1468"/>
    </row>
    <row r="2198" spans="11:15">
      <c r="K2198" s="1465">
        <v>44255</v>
      </c>
      <c r="L2198" s="1466"/>
      <c r="M2198" s="1467">
        <v>0</v>
      </c>
      <c r="N2198" s="1468">
        <v>1.6213815987198115</v>
      </c>
      <c r="O2198" s="1468"/>
    </row>
    <row r="2199" spans="11:15">
      <c r="K2199" s="1465">
        <v>44256</v>
      </c>
      <c r="L2199" s="1466" t="s">
        <v>2125</v>
      </c>
      <c r="M2199" s="1467">
        <v>7.4689999999999999E-3</v>
      </c>
      <c r="N2199" s="1468">
        <v>1.6215026997114197</v>
      </c>
      <c r="O2199" s="1468"/>
    </row>
    <row r="2200" spans="11:15">
      <c r="K2200" s="1465">
        <v>44257</v>
      </c>
      <c r="L2200" s="1466" t="s">
        <v>2125</v>
      </c>
      <c r="M2200" s="1467">
        <v>7.4689999999999999E-3</v>
      </c>
      <c r="N2200" s="1468">
        <v>1.6216238097480611</v>
      </c>
      <c r="O2200" s="1468"/>
    </row>
    <row r="2201" spans="11:15">
      <c r="K2201" s="1465">
        <v>44258</v>
      </c>
      <c r="L2201" s="1466" t="s">
        <v>2125</v>
      </c>
      <c r="M2201" s="1467">
        <v>7.4689999999999999E-3</v>
      </c>
      <c r="N2201" s="1468">
        <v>1.6217449288304111</v>
      </c>
      <c r="O2201" s="1468"/>
    </row>
    <row r="2202" spans="11:15">
      <c r="K2202" s="1465">
        <v>44259</v>
      </c>
      <c r="L2202" s="1466" t="s">
        <v>2125</v>
      </c>
      <c r="M2202" s="1467">
        <v>7.4689999999999999E-3</v>
      </c>
      <c r="N2202" s="1468">
        <v>1.6218660569591454</v>
      </c>
      <c r="O2202" s="1468"/>
    </row>
    <row r="2203" spans="11:15">
      <c r="K2203" s="1465">
        <v>44260</v>
      </c>
      <c r="L2203" s="1466" t="s">
        <v>2125</v>
      </c>
      <c r="M2203" s="1467">
        <v>7.4689999999999999E-3</v>
      </c>
      <c r="N2203" s="1468">
        <v>1.6219871941349395</v>
      </c>
      <c r="O2203" s="1468"/>
    </row>
    <row r="2204" spans="11:15">
      <c r="K2204" s="1465">
        <v>44261</v>
      </c>
      <c r="L2204" s="1466"/>
      <c r="M2204" s="1467">
        <v>0</v>
      </c>
      <c r="N2204" s="1468">
        <v>1.6219871941349395</v>
      </c>
      <c r="O2204" s="1468"/>
    </row>
    <row r="2205" spans="11:15">
      <c r="K2205" s="1465">
        <v>44262</v>
      </c>
      <c r="L2205" s="1466"/>
      <c r="M2205" s="1467">
        <v>0</v>
      </c>
      <c r="N2205" s="1468">
        <v>1.6219871941349395</v>
      </c>
      <c r="O2205" s="1468"/>
    </row>
    <row r="2206" spans="11:15">
      <c r="K2206" s="1465">
        <v>44263</v>
      </c>
      <c r="L2206" s="1466" t="s">
        <v>2125</v>
      </c>
      <c r="M2206" s="1467">
        <v>7.4689999999999999E-3</v>
      </c>
      <c r="N2206" s="1468">
        <v>1.6221083403584693</v>
      </c>
      <c r="O2206" s="1468"/>
    </row>
    <row r="2207" spans="11:15">
      <c r="K2207" s="1465">
        <v>44264</v>
      </c>
      <c r="L2207" s="1466" t="s">
        <v>2125</v>
      </c>
      <c r="M2207" s="1467">
        <v>7.4689999999999999E-3</v>
      </c>
      <c r="N2207" s="1468">
        <v>1.6222294956304106</v>
      </c>
      <c r="O2207" s="1468"/>
    </row>
    <row r="2208" spans="11:15">
      <c r="K2208" s="1465">
        <v>44265</v>
      </c>
      <c r="L2208" s="1466" t="s">
        <v>2125</v>
      </c>
      <c r="M2208" s="1467">
        <v>7.4689999999999999E-3</v>
      </c>
      <c r="N2208" s="1468">
        <v>1.6223506599514392</v>
      </c>
      <c r="O2208" s="1468"/>
    </row>
    <row r="2209" spans="11:15">
      <c r="K2209" s="1465">
        <v>44266</v>
      </c>
      <c r="L2209" s="1466" t="s">
        <v>2125</v>
      </c>
      <c r="M2209" s="1467">
        <v>7.4689999999999999E-3</v>
      </c>
      <c r="N2209" s="1468">
        <v>1.622471833322231</v>
      </c>
      <c r="O2209" s="1468"/>
    </row>
    <row r="2210" spans="11:15">
      <c r="K2210" s="1465">
        <v>44267</v>
      </c>
      <c r="L2210" s="1466" t="s">
        <v>2125</v>
      </c>
      <c r="M2210" s="1467">
        <v>7.4689999999999999E-3</v>
      </c>
      <c r="N2210" s="1468">
        <v>1.6225930157434618</v>
      </c>
      <c r="O2210" s="1468"/>
    </row>
    <row r="2211" spans="11:15">
      <c r="K2211" s="1465">
        <v>44268</v>
      </c>
      <c r="L2211" s="1466"/>
      <c r="M2211" s="1467">
        <v>0</v>
      </c>
      <c r="N2211" s="1468">
        <v>1.6225930157434618</v>
      </c>
      <c r="O2211" s="1468"/>
    </row>
    <row r="2212" spans="11:15">
      <c r="K2212" s="1465">
        <v>44269</v>
      </c>
      <c r="L2212" s="1466"/>
      <c r="M2212" s="1467">
        <v>0</v>
      </c>
      <c r="N2212" s="1468">
        <v>1.6225930157434618</v>
      </c>
      <c r="O2212" s="1468"/>
    </row>
    <row r="2213" spans="11:15">
      <c r="K2213" s="1465">
        <v>44270</v>
      </c>
      <c r="L2213" s="1466" t="s">
        <v>2125</v>
      </c>
      <c r="M2213" s="1467">
        <v>7.4689999999999999E-3</v>
      </c>
      <c r="N2213" s="1468">
        <v>1.6227142072158076</v>
      </c>
      <c r="O2213" s="1468"/>
    </row>
    <row r="2214" spans="11:15">
      <c r="K2214" s="1465">
        <v>44271</v>
      </c>
      <c r="L2214" s="1466" t="s">
        <v>2125</v>
      </c>
      <c r="M2214" s="1467">
        <v>7.4689999999999999E-3</v>
      </c>
      <c r="N2214" s="1468">
        <v>1.6228354077399445</v>
      </c>
      <c r="O2214" s="1468"/>
    </row>
    <row r="2215" spans="11:15">
      <c r="K2215" s="1465">
        <v>44272</v>
      </c>
      <c r="L2215" s="1466" t="s">
        <v>2125</v>
      </c>
      <c r="M2215" s="1467">
        <v>7.4689999999999999E-3</v>
      </c>
      <c r="N2215" s="1468">
        <v>1.6229566173165484</v>
      </c>
      <c r="O2215" s="1468"/>
    </row>
    <row r="2216" spans="11:15">
      <c r="K2216" s="1465">
        <v>44273</v>
      </c>
      <c r="L2216" s="1466" t="s">
        <v>2125</v>
      </c>
      <c r="M2216" s="1467">
        <v>1.0378999999999999E-2</v>
      </c>
      <c r="N2216" s="1468">
        <v>1.6231250639838597</v>
      </c>
      <c r="O2216" s="1468"/>
    </row>
    <row r="2217" spans="11:15">
      <c r="K2217" s="1465">
        <v>44274</v>
      </c>
      <c r="L2217" s="1466" t="s">
        <v>2125</v>
      </c>
      <c r="M2217" s="1467">
        <v>1.0378999999999999E-2</v>
      </c>
      <c r="N2217" s="1468">
        <v>1.6232935281342507</v>
      </c>
      <c r="O2217" s="1468"/>
    </row>
    <row r="2218" spans="11:15">
      <c r="K2218" s="1465">
        <v>44275</v>
      </c>
      <c r="L2218" s="1466"/>
      <c r="M2218" s="1467">
        <v>0</v>
      </c>
      <c r="N2218" s="1468">
        <v>1.6232935281342507</v>
      </c>
      <c r="O2218" s="1468"/>
    </row>
    <row r="2219" spans="11:15">
      <c r="K2219" s="1465">
        <v>44276</v>
      </c>
      <c r="L2219" s="1466"/>
      <c r="M2219" s="1467">
        <v>0</v>
      </c>
      <c r="N2219" s="1468">
        <v>1.6232935281342507</v>
      </c>
      <c r="O2219" s="1468"/>
    </row>
    <row r="2220" spans="11:15">
      <c r="K2220" s="1465">
        <v>44277</v>
      </c>
      <c r="L2220" s="1466" t="s">
        <v>2125</v>
      </c>
      <c r="M2220" s="1467">
        <v>1.0378999999999999E-2</v>
      </c>
      <c r="N2220" s="1468">
        <v>1.6234620097695358</v>
      </c>
      <c r="O2220" s="1468"/>
    </row>
    <row r="2221" spans="11:15">
      <c r="K2221" s="1465">
        <v>44278</v>
      </c>
      <c r="L2221" s="1466" t="s">
        <v>2125</v>
      </c>
      <c r="M2221" s="1467">
        <v>1.0378999999999999E-2</v>
      </c>
      <c r="N2221" s="1468">
        <v>1.6236305088915299</v>
      </c>
      <c r="O2221" s="1468"/>
    </row>
    <row r="2222" spans="11:15">
      <c r="K2222" s="1465">
        <v>44279</v>
      </c>
      <c r="L2222" s="1466" t="s">
        <v>2125</v>
      </c>
      <c r="M2222" s="1467">
        <v>1.0378999999999999E-2</v>
      </c>
      <c r="N2222" s="1468">
        <v>1.6237990255020478</v>
      </c>
      <c r="O2222" s="1468"/>
    </row>
    <row r="2223" spans="11:15">
      <c r="K2223" s="1465">
        <v>44280</v>
      </c>
      <c r="L2223" s="1466" t="s">
        <v>2125</v>
      </c>
      <c r="M2223" s="1467">
        <v>1.0378999999999999E-2</v>
      </c>
      <c r="N2223" s="1468">
        <v>1.6239675596029048</v>
      </c>
      <c r="O2223" s="1468"/>
    </row>
    <row r="2224" spans="11:15">
      <c r="K2224" s="1465">
        <v>44281</v>
      </c>
      <c r="L2224" s="1466" t="s">
        <v>2125</v>
      </c>
      <c r="M2224" s="1467">
        <v>1.0378999999999999E-2</v>
      </c>
      <c r="N2224" s="1468">
        <v>1.6241361111959161</v>
      </c>
      <c r="O2224" s="1468"/>
    </row>
    <row r="2225" spans="11:15">
      <c r="K2225" s="1465">
        <v>44282</v>
      </c>
      <c r="L2225" s="1466"/>
      <c r="M2225" s="1467">
        <v>0</v>
      </c>
      <c r="N2225" s="1468">
        <v>1.6241361111959161</v>
      </c>
      <c r="O2225" s="1468"/>
    </row>
    <row r="2226" spans="11:15">
      <c r="K2226" s="1465">
        <v>44283</v>
      </c>
      <c r="L2226" s="1466"/>
      <c r="M2226" s="1467">
        <v>0</v>
      </c>
      <c r="N2226" s="1468">
        <v>1.6241361111959161</v>
      </c>
      <c r="O2226" s="1468"/>
    </row>
    <row r="2227" spans="11:15">
      <c r="K2227" s="1465">
        <v>44284</v>
      </c>
      <c r="L2227" s="1466" t="s">
        <v>2125</v>
      </c>
      <c r="M2227" s="1467">
        <v>1.0378999999999999E-2</v>
      </c>
      <c r="N2227" s="1468">
        <v>1.6243046802828971</v>
      </c>
      <c r="O2227" s="1468"/>
    </row>
    <row r="2228" spans="11:15">
      <c r="K2228" s="1465">
        <v>44285</v>
      </c>
      <c r="L2228" s="1466" t="s">
        <v>2125</v>
      </c>
      <c r="M2228" s="1467">
        <v>1.0378999999999999E-2</v>
      </c>
      <c r="N2228" s="1468">
        <v>1.6244732668656638</v>
      </c>
      <c r="O2228" s="1468"/>
    </row>
    <row r="2229" spans="11:15">
      <c r="K2229" s="1465">
        <v>44286</v>
      </c>
      <c r="L2229" s="1466" t="s">
        <v>2125</v>
      </c>
      <c r="M2229" s="1467">
        <v>1.0378999999999999E-2</v>
      </c>
      <c r="N2229" s="1468">
        <v>1.624641870946032</v>
      </c>
      <c r="O2229" s="1468"/>
    </row>
    <row r="2230" spans="11:15">
      <c r="K2230" s="1465">
        <v>44287</v>
      </c>
      <c r="L2230" s="1466" t="s">
        <v>2125</v>
      </c>
      <c r="M2230" s="1467">
        <v>1.0378999999999999E-2</v>
      </c>
      <c r="N2230" s="1468">
        <v>1.6248104925258176</v>
      </c>
      <c r="O2230" s="1468"/>
    </row>
    <row r="2231" spans="11:15">
      <c r="K2231" s="1465">
        <v>44288</v>
      </c>
      <c r="L2231" s="1466"/>
      <c r="M2231" s="1467">
        <v>0</v>
      </c>
      <c r="N2231" s="1468">
        <v>1.6248104925258176</v>
      </c>
      <c r="O2231" s="1468"/>
    </row>
    <row r="2232" spans="11:15">
      <c r="K2232" s="1465">
        <v>44289</v>
      </c>
      <c r="L2232" s="1466"/>
      <c r="M2232" s="1467">
        <v>0</v>
      </c>
      <c r="N2232" s="1468">
        <v>1.6248104925258176</v>
      </c>
      <c r="O2232" s="1468"/>
    </row>
    <row r="2233" spans="11:15">
      <c r="K2233" s="1465">
        <v>44290</v>
      </c>
      <c r="L2233" s="1466"/>
      <c r="M2233" s="1467">
        <v>0</v>
      </c>
      <c r="N2233" s="1468">
        <v>1.6248104925258176</v>
      </c>
      <c r="O2233" s="1468"/>
    </row>
    <row r="2234" spans="11:15">
      <c r="K2234" s="1465">
        <v>44291</v>
      </c>
      <c r="L2234" s="1466" t="s">
        <v>2125</v>
      </c>
      <c r="M2234" s="1467">
        <v>1.0378999999999999E-2</v>
      </c>
      <c r="N2234" s="1468">
        <v>1.6249791316068369</v>
      </c>
      <c r="O2234" s="1468"/>
    </row>
    <row r="2235" spans="11:15">
      <c r="K2235" s="1465">
        <v>44292</v>
      </c>
      <c r="L2235" s="1466" t="s">
        <v>2125</v>
      </c>
      <c r="M2235" s="1467">
        <v>1.0378999999999999E-2</v>
      </c>
      <c r="N2235" s="1468">
        <v>1.6251477881909064</v>
      </c>
      <c r="O2235" s="1468"/>
    </row>
    <row r="2236" spans="11:15">
      <c r="K2236" s="1465">
        <v>44293</v>
      </c>
      <c r="L2236" s="1466" t="s">
        <v>2125</v>
      </c>
      <c r="M2236" s="1467">
        <v>1.0378999999999999E-2</v>
      </c>
      <c r="N2236" s="1468">
        <v>1.6253164622798428</v>
      </c>
      <c r="O2236" s="1468"/>
    </row>
    <row r="2237" spans="11:15">
      <c r="K2237" s="1465">
        <v>44294</v>
      </c>
      <c r="L2237" s="1466" t="s">
        <v>2125</v>
      </c>
      <c r="M2237" s="1467">
        <v>1.0378999999999999E-2</v>
      </c>
      <c r="N2237" s="1468">
        <v>1.6254851538754629</v>
      </c>
      <c r="O2237" s="1468"/>
    </row>
    <row r="2238" spans="11:15">
      <c r="K2238" s="1465">
        <v>44295</v>
      </c>
      <c r="L2238" s="1466" t="s">
        <v>2125</v>
      </c>
      <c r="M2238" s="1467">
        <v>1.0378999999999999E-2</v>
      </c>
      <c r="N2238" s="1468">
        <v>1.6256538629795838</v>
      </c>
      <c r="O2238" s="1468"/>
    </row>
    <row r="2239" spans="11:15">
      <c r="K2239" s="1465">
        <v>44296</v>
      </c>
      <c r="L2239" s="1466"/>
      <c r="M2239" s="1467">
        <v>0</v>
      </c>
      <c r="N2239" s="1468">
        <v>1.6256538629795838</v>
      </c>
      <c r="O2239" s="1468"/>
    </row>
    <row r="2240" spans="11:15">
      <c r="K2240" s="1465">
        <v>44297</v>
      </c>
      <c r="L2240" s="1466"/>
      <c r="M2240" s="1467">
        <v>0</v>
      </c>
      <c r="N2240" s="1468">
        <v>1.6256538629795838</v>
      </c>
      <c r="O2240" s="1468"/>
    </row>
    <row r="2241" spans="11:15">
      <c r="K2241" s="1465">
        <v>44298</v>
      </c>
      <c r="L2241" s="1466" t="s">
        <v>2125</v>
      </c>
      <c r="M2241" s="1467">
        <v>1.0378999999999999E-2</v>
      </c>
      <c r="N2241" s="1468">
        <v>1.6258225895940226</v>
      </c>
      <c r="O2241" s="1468"/>
    </row>
    <row r="2242" spans="11:15">
      <c r="K2242" s="1465">
        <v>44299</v>
      </c>
      <c r="L2242" s="1466" t="s">
        <v>2125</v>
      </c>
      <c r="M2242" s="1467">
        <v>1.0378999999999999E-2</v>
      </c>
      <c r="N2242" s="1468">
        <v>1.6259913337205967</v>
      </c>
      <c r="O2242" s="1468"/>
    </row>
    <row r="2243" spans="11:15">
      <c r="K2243" s="1465">
        <v>44300</v>
      </c>
      <c r="L2243" s="1466" t="s">
        <v>2125</v>
      </c>
      <c r="M2243" s="1467">
        <v>1.0378999999999999E-2</v>
      </c>
      <c r="N2243" s="1468">
        <v>1.6261600953611237</v>
      </c>
      <c r="O2243" s="1468"/>
    </row>
    <row r="2244" spans="11:15">
      <c r="K2244" s="1465">
        <v>44301</v>
      </c>
      <c r="L2244" s="1466" t="s">
        <v>2125</v>
      </c>
      <c r="M2244" s="1467">
        <v>1.0378999999999999E-2</v>
      </c>
      <c r="N2244" s="1468">
        <v>1.6263288745174214</v>
      </c>
      <c r="O2244" s="1468"/>
    </row>
    <row r="2245" spans="11:15">
      <c r="K2245" s="1465">
        <v>44302</v>
      </c>
      <c r="L2245" s="1466" t="s">
        <v>2125</v>
      </c>
      <c r="M2245" s="1467">
        <v>1.0378999999999999E-2</v>
      </c>
      <c r="N2245" s="1468">
        <v>1.6264976711913075</v>
      </c>
      <c r="O2245" s="1468"/>
    </row>
    <row r="2246" spans="11:15">
      <c r="K2246" s="1465">
        <v>44303</v>
      </c>
      <c r="L2246" s="1466"/>
      <c r="M2246" s="1467">
        <v>0</v>
      </c>
      <c r="N2246" s="1468">
        <v>1.6264976711913075</v>
      </c>
      <c r="O2246" s="1468"/>
    </row>
    <row r="2247" spans="11:15">
      <c r="K2247" s="1465">
        <v>44304</v>
      </c>
      <c r="L2247" s="1466"/>
      <c r="M2247" s="1467">
        <v>0</v>
      </c>
      <c r="N2247" s="1468">
        <v>1.6264976711913075</v>
      </c>
      <c r="O2247" s="1468"/>
    </row>
    <row r="2248" spans="11:15">
      <c r="K2248" s="1465">
        <v>44305</v>
      </c>
      <c r="L2248" s="1466" t="s">
        <v>2125</v>
      </c>
      <c r="M2248" s="1467">
        <v>1.0378999999999999E-2</v>
      </c>
      <c r="N2248" s="1468">
        <v>1.6266664853846005</v>
      </c>
      <c r="O2248" s="1468"/>
    </row>
    <row r="2249" spans="11:15">
      <c r="K2249" s="1465">
        <v>44306</v>
      </c>
      <c r="L2249" s="1466" t="s">
        <v>2125</v>
      </c>
      <c r="M2249" s="1467">
        <v>1.0378999999999999E-2</v>
      </c>
      <c r="N2249" s="1468">
        <v>1.6268353170991185</v>
      </c>
      <c r="O2249" s="1468"/>
    </row>
    <row r="2250" spans="11:15">
      <c r="K2250" s="1465">
        <v>44307</v>
      </c>
      <c r="L2250" s="1466"/>
      <c r="M2250" s="1467">
        <v>0</v>
      </c>
      <c r="N2250" s="1468">
        <v>1.6268353170991185</v>
      </c>
      <c r="O2250" s="1468"/>
    </row>
    <row r="2251" spans="11:15">
      <c r="K2251" s="1465">
        <v>44308</v>
      </c>
      <c r="L2251" s="1466" t="s">
        <v>2125</v>
      </c>
      <c r="M2251" s="1467">
        <v>1.0378999999999999E-2</v>
      </c>
      <c r="N2251" s="1468">
        <v>1.6270041663366803</v>
      </c>
      <c r="O2251" s="1468"/>
    </row>
    <row r="2252" spans="11:15">
      <c r="K2252" s="1465">
        <v>44309</v>
      </c>
      <c r="L2252" s="1466" t="s">
        <v>2125</v>
      </c>
      <c r="M2252" s="1467">
        <v>1.0378999999999999E-2</v>
      </c>
      <c r="N2252" s="1468">
        <v>1.6271730330991045</v>
      </c>
      <c r="O2252" s="1468"/>
    </row>
    <row r="2253" spans="11:15">
      <c r="K2253" s="1465">
        <v>44310</v>
      </c>
      <c r="L2253" s="1466"/>
      <c r="M2253" s="1467">
        <v>0</v>
      </c>
      <c r="N2253" s="1468">
        <v>1.6271730330991045</v>
      </c>
      <c r="O2253" s="1468"/>
    </row>
    <row r="2254" spans="11:15">
      <c r="K2254" s="1465">
        <v>44311</v>
      </c>
      <c r="L2254" s="1466"/>
      <c r="M2254" s="1467">
        <v>0</v>
      </c>
      <c r="N2254" s="1468">
        <v>1.6271730330991045</v>
      </c>
      <c r="O2254" s="1468"/>
    </row>
    <row r="2255" spans="11:15">
      <c r="K2255" s="1465">
        <v>44312</v>
      </c>
      <c r="L2255" s="1466" t="s">
        <v>2125</v>
      </c>
      <c r="M2255" s="1467">
        <v>1.0378999999999999E-2</v>
      </c>
      <c r="N2255" s="1468">
        <v>1.62734191738821</v>
      </c>
      <c r="O2255" s="1468"/>
    </row>
    <row r="2256" spans="11:15">
      <c r="K2256" s="1465">
        <v>44313</v>
      </c>
      <c r="L2256" s="1466" t="s">
        <v>2125</v>
      </c>
      <c r="M2256" s="1467">
        <v>1.0378999999999999E-2</v>
      </c>
      <c r="N2256" s="1468">
        <v>1.6275108192058159</v>
      </c>
      <c r="O2256" s="1468"/>
    </row>
    <row r="2257" spans="11:15">
      <c r="K2257" s="1465">
        <v>44314</v>
      </c>
      <c r="L2257" s="1466" t="s">
        <v>2125</v>
      </c>
      <c r="M2257" s="1467">
        <v>1.0378999999999999E-2</v>
      </c>
      <c r="N2257" s="1468">
        <v>1.6276797385537414</v>
      </c>
      <c r="O2257" s="1468"/>
    </row>
    <row r="2258" spans="11:15">
      <c r="K2258" s="1465">
        <v>44315</v>
      </c>
      <c r="L2258" s="1466" t="s">
        <v>2125</v>
      </c>
      <c r="M2258" s="1467">
        <v>1.0378999999999999E-2</v>
      </c>
      <c r="N2258" s="1468">
        <v>1.627848675433806</v>
      </c>
      <c r="O2258" s="1468"/>
    </row>
    <row r="2259" spans="11:15">
      <c r="K2259" s="1465">
        <v>44316</v>
      </c>
      <c r="L2259" s="1466" t="s">
        <v>2125</v>
      </c>
      <c r="M2259" s="1467">
        <v>1.0378999999999999E-2</v>
      </c>
      <c r="N2259" s="1468">
        <v>1.6280176298478293</v>
      </c>
      <c r="O2259" s="1468"/>
    </row>
    <row r="2260" spans="11:15">
      <c r="K2260" s="1465">
        <v>44317</v>
      </c>
      <c r="L2260" s="1466"/>
      <c r="M2260" s="1467">
        <v>0</v>
      </c>
      <c r="N2260" s="1468">
        <v>1.6280176298478293</v>
      </c>
      <c r="O2260" s="1468"/>
    </row>
    <row r="2261" spans="11:15">
      <c r="K2261" s="1465">
        <v>44318</v>
      </c>
      <c r="L2261" s="1466"/>
      <c r="M2261" s="1467">
        <v>0</v>
      </c>
      <c r="N2261" s="1468">
        <v>1.6280176298478293</v>
      </c>
      <c r="O2261" s="1468"/>
    </row>
    <row r="2262" spans="11:15">
      <c r="K2262" s="1465">
        <v>44319</v>
      </c>
      <c r="L2262" s="1466" t="s">
        <v>2125</v>
      </c>
      <c r="M2262" s="1467">
        <v>1.0378999999999999E-2</v>
      </c>
      <c r="N2262" s="1468">
        <v>1.6281866017976312</v>
      </c>
      <c r="O2262" s="1468"/>
    </row>
    <row r="2263" spans="11:15">
      <c r="K2263" s="1465">
        <v>44320</v>
      </c>
      <c r="L2263" s="1466" t="s">
        <v>2125</v>
      </c>
      <c r="M2263" s="1467">
        <v>1.0378999999999999E-2</v>
      </c>
      <c r="N2263" s="1468">
        <v>1.6283555912850318</v>
      </c>
      <c r="O2263" s="1468"/>
    </row>
    <row r="2264" spans="11:15">
      <c r="K2264" s="1465">
        <v>44321</v>
      </c>
      <c r="L2264" s="1466" t="s">
        <v>2125</v>
      </c>
      <c r="M2264" s="1467">
        <v>1.0378999999999999E-2</v>
      </c>
      <c r="N2264" s="1468">
        <v>1.6285245983118515</v>
      </c>
      <c r="O2264" s="1468"/>
    </row>
    <row r="2265" spans="11:15">
      <c r="K2265" s="1465">
        <v>44322</v>
      </c>
      <c r="L2265" s="1466" t="s">
        <v>2125</v>
      </c>
      <c r="M2265" s="1467">
        <v>1.3269E-2</v>
      </c>
      <c r="N2265" s="1468">
        <v>1.6287406872408015</v>
      </c>
      <c r="O2265" s="1468"/>
    </row>
    <row r="2266" spans="11:15">
      <c r="K2266" s="1465">
        <v>44323</v>
      </c>
      <c r="L2266" s="1466" t="s">
        <v>2125</v>
      </c>
      <c r="M2266" s="1467">
        <v>1.3269E-2</v>
      </c>
      <c r="N2266" s="1468">
        <v>1.6289568048425915</v>
      </c>
      <c r="O2266" s="1468"/>
    </row>
    <row r="2267" spans="11:15">
      <c r="K2267" s="1465">
        <v>44324</v>
      </c>
      <c r="L2267" s="1466"/>
      <c r="M2267" s="1467">
        <v>0</v>
      </c>
      <c r="N2267" s="1468">
        <v>1.6289568048425915</v>
      </c>
      <c r="O2267" s="1468"/>
    </row>
    <row r="2268" spans="11:15">
      <c r="K2268" s="1465">
        <v>44325</v>
      </c>
      <c r="L2268" s="1466"/>
      <c r="M2268" s="1467">
        <v>0</v>
      </c>
      <c r="N2268" s="1468">
        <v>1.6289568048425915</v>
      </c>
      <c r="O2268" s="1468"/>
    </row>
    <row r="2269" spans="11:15">
      <c r="K2269" s="1465">
        <v>44326</v>
      </c>
      <c r="L2269" s="1466" t="s">
        <v>2125</v>
      </c>
      <c r="M2269" s="1467">
        <v>1.3269E-2</v>
      </c>
      <c r="N2269" s="1468">
        <v>1.6291729511210262</v>
      </c>
      <c r="O2269" s="1468"/>
    </row>
    <row r="2270" spans="11:15">
      <c r="K2270" s="1465">
        <v>44327</v>
      </c>
      <c r="L2270" s="1466" t="s">
        <v>2125</v>
      </c>
      <c r="M2270" s="1467">
        <v>1.3269E-2</v>
      </c>
      <c r="N2270" s="1468">
        <v>1.6293891260799105</v>
      </c>
      <c r="O2270" s="1468"/>
    </row>
    <row r="2271" spans="11:15">
      <c r="K2271" s="1465">
        <v>44328</v>
      </c>
      <c r="L2271" s="1466" t="s">
        <v>2125</v>
      </c>
      <c r="M2271" s="1467">
        <v>1.3269E-2</v>
      </c>
      <c r="N2271" s="1468">
        <v>1.6296053297230502</v>
      </c>
      <c r="O2271" s="1468"/>
    </row>
    <row r="2272" spans="11:15">
      <c r="K2272" s="1465">
        <v>44329</v>
      </c>
      <c r="L2272" s="1466" t="s">
        <v>2125</v>
      </c>
      <c r="M2272" s="1467">
        <v>1.3269E-2</v>
      </c>
      <c r="N2272" s="1468">
        <v>1.6298215620542511</v>
      </c>
      <c r="O2272" s="1468"/>
    </row>
    <row r="2273" spans="11:15">
      <c r="K2273" s="1465">
        <v>44330</v>
      </c>
      <c r="L2273" s="1466" t="s">
        <v>2125</v>
      </c>
      <c r="M2273" s="1467">
        <v>1.3269E-2</v>
      </c>
      <c r="N2273" s="1468">
        <v>1.6300378230773203</v>
      </c>
      <c r="O2273" s="1468"/>
    </row>
    <row r="2274" spans="11:15">
      <c r="K2274" s="1465">
        <v>44331</v>
      </c>
      <c r="L2274" s="1466"/>
      <c r="M2274" s="1467">
        <v>0</v>
      </c>
      <c r="N2274" s="1468">
        <v>1.6300378230773203</v>
      </c>
      <c r="O2274" s="1468"/>
    </row>
    <row r="2275" spans="11:15">
      <c r="K2275" s="1465">
        <v>44332</v>
      </c>
      <c r="L2275" s="1466"/>
      <c r="M2275" s="1467">
        <v>0</v>
      </c>
      <c r="N2275" s="1468">
        <v>1.6300378230773203</v>
      </c>
      <c r="O2275" s="1468"/>
    </row>
    <row r="2276" spans="11:15">
      <c r="K2276" s="1465">
        <v>44333</v>
      </c>
      <c r="L2276" s="1466" t="s">
        <v>2125</v>
      </c>
      <c r="M2276" s="1467">
        <v>1.3269E-2</v>
      </c>
      <c r="N2276" s="1468">
        <v>1.6302541127960644</v>
      </c>
      <c r="O2276" s="1468"/>
    </row>
    <row r="2277" spans="11:15">
      <c r="K2277" s="1465">
        <v>44334</v>
      </c>
      <c r="L2277" s="1466" t="s">
        <v>2125</v>
      </c>
      <c r="M2277" s="1467">
        <v>1.3269E-2</v>
      </c>
      <c r="N2277" s="1468">
        <v>1.6304704312142912</v>
      </c>
      <c r="O2277" s="1468"/>
    </row>
    <row r="2278" spans="11:15">
      <c r="K2278" s="1465">
        <v>44335</v>
      </c>
      <c r="L2278" s="1466" t="s">
        <v>2125</v>
      </c>
      <c r="M2278" s="1467">
        <v>1.3269E-2</v>
      </c>
      <c r="N2278" s="1468">
        <v>1.6306867783358092</v>
      </c>
      <c r="O2278" s="1468"/>
    </row>
    <row r="2279" spans="11:15">
      <c r="K2279" s="1465">
        <v>44336</v>
      </c>
      <c r="L2279" s="1466" t="s">
        <v>2125</v>
      </c>
      <c r="M2279" s="1467">
        <v>1.3269E-2</v>
      </c>
      <c r="N2279" s="1468">
        <v>1.6309031541644268</v>
      </c>
      <c r="O2279" s="1468"/>
    </row>
    <row r="2280" spans="11:15">
      <c r="K2280" s="1465">
        <v>44337</v>
      </c>
      <c r="L2280" s="1466" t="s">
        <v>2125</v>
      </c>
      <c r="M2280" s="1467">
        <v>1.3269E-2</v>
      </c>
      <c r="N2280" s="1468">
        <v>1.6311195587039529</v>
      </c>
      <c r="O2280" s="1468"/>
    </row>
    <row r="2281" spans="11:15">
      <c r="K2281" s="1465">
        <v>44338</v>
      </c>
      <c r="L2281" s="1466"/>
      <c r="M2281" s="1467">
        <v>0</v>
      </c>
      <c r="N2281" s="1468">
        <v>1.6311195587039529</v>
      </c>
      <c r="O2281" s="1468"/>
    </row>
    <row r="2282" spans="11:15">
      <c r="K2282" s="1465">
        <v>44339</v>
      </c>
      <c r="L2282" s="1466"/>
      <c r="M2282" s="1467">
        <v>0</v>
      </c>
      <c r="N2282" s="1468">
        <v>1.6311195587039529</v>
      </c>
      <c r="O2282" s="1468"/>
    </row>
    <row r="2283" spans="11:15">
      <c r="K2283" s="1465">
        <v>44340</v>
      </c>
      <c r="L2283" s="1466" t="s">
        <v>2125</v>
      </c>
      <c r="M2283" s="1467">
        <v>1.3269E-2</v>
      </c>
      <c r="N2283" s="1468">
        <v>1.6313359919581973</v>
      </c>
      <c r="O2283" s="1468"/>
    </row>
    <row r="2284" spans="11:15">
      <c r="K2284" s="1465">
        <v>44341</v>
      </c>
      <c r="L2284" s="1466" t="s">
        <v>2125</v>
      </c>
      <c r="M2284" s="1467">
        <v>1.3269E-2</v>
      </c>
      <c r="N2284" s="1468">
        <v>1.6315524539309703</v>
      </c>
      <c r="O2284" s="1468"/>
    </row>
    <row r="2285" spans="11:15">
      <c r="K2285" s="1465">
        <v>44342</v>
      </c>
      <c r="L2285" s="1466" t="s">
        <v>2125</v>
      </c>
      <c r="M2285" s="1467">
        <v>1.3269E-2</v>
      </c>
      <c r="N2285" s="1468">
        <v>1.6317689446260824</v>
      </c>
      <c r="O2285" s="1468"/>
    </row>
    <row r="2286" spans="11:15">
      <c r="K2286" s="1465">
        <v>44343</v>
      </c>
      <c r="L2286" s="1466" t="s">
        <v>2125</v>
      </c>
      <c r="M2286" s="1467">
        <v>1.3269E-2</v>
      </c>
      <c r="N2286" s="1468">
        <v>1.6319854640473448</v>
      </c>
      <c r="O2286" s="1468"/>
    </row>
    <row r="2287" spans="11:15">
      <c r="K2287" s="1465">
        <v>44344</v>
      </c>
      <c r="L2287" s="1466" t="s">
        <v>2125</v>
      </c>
      <c r="M2287" s="1467">
        <v>1.3269E-2</v>
      </c>
      <c r="N2287" s="1468">
        <v>1.6322020121985694</v>
      </c>
      <c r="O2287" s="1468"/>
    </row>
    <row r="2288" spans="11:15">
      <c r="K2288" s="1465">
        <v>44345</v>
      </c>
      <c r="L2288" s="1466"/>
      <c r="M2288" s="1467">
        <v>0</v>
      </c>
      <c r="N2288" s="1468">
        <v>1.6322020121985694</v>
      </c>
      <c r="O2288" s="1468"/>
    </row>
    <row r="2289" spans="11:15">
      <c r="K2289" s="1465">
        <v>44346</v>
      </c>
      <c r="L2289" s="1466"/>
      <c r="M2289" s="1467">
        <v>0</v>
      </c>
      <c r="N2289" s="1468">
        <v>1.6322020121985694</v>
      </c>
      <c r="O2289" s="1468"/>
    </row>
    <row r="2290" spans="11:15">
      <c r="K2290" s="1465">
        <v>44347</v>
      </c>
      <c r="L2290" s="1466" t="s">
        <v>2125</v>
      </c>
      <c r="M2290" s="1467">
        <v>1.3269E-2</v>
      </c>
      <c r="N2290" s="1468">
        <v>1.6324185890835681</v>
      </c>
      <c r="O2290" s="1468"/>
    </row>
    <row r="2291" spans="11:15">
      <c r="K2291" s="1465">
        <v>44348</v>
      </c>
      <c r="L2291" s="1466" t="s">
        <v>2125</v>
      </c>
      <c r="M2291" s="1467">
        <v>1.3269E-2</v>
      </c>
      <c r="N2291" s="1468">
        <v>1.6326351947061537</v>
      </c>
      <c r="O2291" s="1468"/>
    </row>
    <row r="2292" spans="11:15">
      <c r="K2292" s="1465">
        <v>44349</v>
      </c>
      <c r="L2292" s="1466" t="s">
        <v>2125</v>
      </c>
      <c r="M2292" s="1467">
        <v>1.3269E-2</v>
      </c>
      <c r="N2292" s="1468">
        <v>1.6328518290701393</v>
      </c>
      <c r="O2292" s="1468"/>
    </row>
    <row r="2293" spans="11:15">
      <c r="K2293" s="1465">
        <v>44350</v>
      </c>
      <c r="L2293" s="1466"/>
      <c r="M2293" s="1467">
        <v>0</v>
      </c>
      <c r="N2293" s="1468">
        <v>1.6328518290701393</v>
      </c>
      <c r="O2293" s="1468"/>
    </row>
    <row r="2294" spans="11:15">
      <c r="K2294" s="1465">
        <v>44351</v>
      </c>
      <c r="L2294" s="1466" t="s">
        <v>2125</v>
      </c>
      <c r="M2294" s="1467">
        <v>1.3269E-2</v>
      </c>
      <c r="N2294" s="1468">
        <v>1.6330684921793386</v>
      </c>
      <c r="O2294" s="1468"/>
    </row>
    <row r="2295" spans="11:15">
      <c r="K2295" s="1465">
        <v>44352</v>
      </c>
      <c r="L2295" s="1466"/>
      <c r="M2295" s="1467">
        <v>0</v>
      </c>
      <c r="N2295" s="1468">
        <v>1.6330684921793386</v>
      </c>
      <c r="O2295" s="1468"/>
    </row>
    <row r="2296" spans="11:15">
      <c r="K2296" s="1465">
        <v>44353</v>
      </c>
      <c r="L2296" s="1466"/>
      <c r="M2296" s="1467">
        <v>0</v>
      </c>
      <c r="N2296" s="1468">
        <v>1.6330684921793386</v>
      </c>
      <c r="O2296" s="1468"/>
    </row>
    <row r="2297" spans="11:15">
      <c r="K2297" s="1465">
        <v>44354</v>
      </c>
      <c r="L2297" s="1466" t="s">
        <v>2125</v>
      </c>
      <c r="M2297" s="1467">
        <v>1.3269E-2</v>
      </c>
      <c r="N2297" s="1468">
        <v>1.633285184037566</v>
      </c>
      <c r="O2297" s="1468"/>
    </row>
    <row r="2298" spans="11:15">
      <c r="K2298" s="1465">
        <v>44355</v>
      </c>
      <c r="L2298" s="1466" t="s">
        <v>2125</v>
      </c>
      <c r="M2298" s="1467">
        <v>1.3269E-2</v>
      </c>
      <c r="N2298" s="1468">
        <v>1.6335019046486359</v>
      </c>
      <c r="O2298" s="1468"/>
    </row>
    <row r="2299" spans="11:15">
      <c r="K2299" s="1465">
        <v>44356</v>
      </c>
      <c r="L2299" s="1466" t="s">
        <v>2125</v>
      </c>
      <c r="M2299" s="1467">
        <v>1.3269E-2</v>
      </c>
      <c r="N2299" s="1468">
        <v>1.6337186540163637</v>
      </c>
      <c r="O2299" s="1468"/>
    </row>
    <row r="2300" spans="11:15">
      <c r="K2300" s="1465">
        <v>44357</v>
      </c>
      <c r="L2300" s="1466" t="s">
        <v>2125</v>
      </c>
      <c r="M2300" s="1467">
        <v>1.3269E-2</v>
      </c>
      <c r="N2300" s="1468">
        <v>1.6339354321445652</v>
      </c>
      <c r="O2300" s="1468"/>
    </row>
    <row r="2301" spans="11:15">
      <c r="K2301" s="1465">
        <v>44358</v>
      </c>
      <c r="L2301" s="1466" t="s">
        <v>2125</v>
      </c>
      <c r="M2301" s="1467">
        <v>1.3269E-2</v>
      </c>
      <c r="N2301" s="1468">
        <v>1.6341522390370564</v>
      </c>
      <c r="O2301" s="1468"/>
    </row>
    <row r="2302" spans="11:15">
      <c r="K2302" s="1465">
        <v>44359</v>
      </c>
      <c r="L2302" s="1466"/>
      <c r="M2302" s="1467">
        <v>0</v>
      </c>
      <c r="N2302" s="1468">
        <v>1.6341522390370564</v>
      </c>
      <c r="O2302" s="1468"/>
    </row>
    <row r="2303" spans="11:15">
      <c r="K2303" s="1465">
        <v>44360</v>
      </c>
      <c r="L2303" s="1466"/>
      <c r="M2303" s="1467">
        <v>0</v>
      </c>
      <c r="N2303" s="1468">
        <v>1.6341522390370564</v>
      </c>
      <c r="O2303" s="1468"/>
    </row>
    <row r="2304" spans="11:15">
      <c r="K2304" s="1465">
        <v>44361</v>
      </c>
      <c r="L2304" s="1466" t="s">
        <v>2125</v>
      </c>
      <c r="M2304" s="1467">
        <v>1.3269E-2</v>
      </c>
      <c r="N2304" s="1468">
        <v>1.6343690746976542</v>
      </c>
      <c r="O2304" s="1468"/>
    </row>
    <row r="2305" spans="11:15">
      <c r="K2305" s="1465">
        <v>44362</v>
      </c>
      <c r="L2305" s="1466" t="s">
        <v>2125</v>
      </c>
      <c r="M2305" s="1467">
        <v>1.3269E-2</v>
      </c>
      <c r="N2305" s="1468">
        <v>1.634585939130176</v>
      </c>
      <c r="O2305" s="1468"/>
    </row>
    <row r="2306" spans="11:15">
      <c r="K2306" s="1465">
        <v>44363</v>
      </c>
      <c r="L2306" s="1466" t="s">
        <v>2125</v>
      </c>
      <c r="M2306" s="1467">
        <v>1.3269E-2</v>
      </c>
      <c r="N2306" s="1468">
        <v>1.6348028323384394</v>
      </c>
      <c r="O2306" s="1468"/>
    </row>
    <row r="2307" spans="11:15">
      <c r="K2307" s="1465">
        <v>44364</v>
      </c>
      <c r="L2307" s="1466" t="s">
        <v>2125</v>
      </c>
      <c r="M2307" s="1467">
        <v>1.6136999999999999E-2</v>
      </c>
      <c r="N2307" s="1468">
        <v>1.635066640471494</v>
      </c>
      <c r="O2307" s="1468"/>
    </row>
    <row r="2308" spans="11:15">
      <c r="K2308" s="1465">
        <v>44365</v>
      </c>
      <c r="L2308" s="1466" t="s">
        <v>2125</v>
      </c>
      <c r="M2308" s="1467">
        <v>1.6136999999999999E-2</v>
      </c>
      <c r="N2308" s="1468">
        <v>1.6353304911752669</v>
      </c>
      <c r="O2308" s="1468"/>
    </row>
    <row r="2309" spans="11:15">
      <c r="K2309" s="1465">
        <v>44366</v>
      </c>
      <c r="L2309" s="1466"/>
      <c r="M2309" s="1467">
        <v>0</v>
      </c>
      <c r="N2309" s="1468">
        <v>1.6353304911752669</v>
      </c>
      <c r="O2309" s="1468"/>
    </row>
    <row r="2310" spans="11:15">
      <c r="K2310" s="1465">
        <v>44367</v>
      </c>
      <c r="L2310" s="1466"/>
      <c r="M2310" s="1467">
        <v>0</v>
      </c>
      <c r="N2310" s="1468">
        <v>1.6353304911752669</v>
      </c>
      <c r="O2310" s="1468"/>
    </row>
    <row r="2311" spans="11:15">
      <c r="K2311" s="1465">
        <v>44368</v>
      </c>
      <c r="L2311" s="1466" t="s">
        <v>2125</v>
      </c>
      <c r="M2311" s="1467">
        <v>1.6136999999999999E-2</v>
      </c>
      <c r="N2311" s="1468">
        <v>1.6355943844566279</v>
      </c>
      <c r="O2311" s="1468"/>
    </row>
    <row r="2312" spans="11:15">
      <c r="K2312" s="1465">
        <v>44369</v>
      </c>
      <c r="L2312" s="1466" t="s">
        <v>2125</v>
      </c>
      <c r="M2312" s="1467">
        <v>1.6136999999999999E-2</v>
      </c>
      <c r="N2312" s="1468">
        <v>1.6358583203224477</v>
      </c>
      <c r="O2312" s="1468"/>
    </row>
    <row r="2313" spans="11:15">
      <c r="K2313" s="1465">
        <v>44370</v>
      </c>
      <c r="L2313" s="1466" t="s">
        <v>2125</v>
      </c>
      <c r="M2313" s="1467">
        <v>1.6136999999999999E-2</v>
      </c>
      <c r="N2313" s="1468">
        <v>1.6361222987795982</v>
      </c>
      <c r="O2313" s="1468"/>
    </row>
    <row r="2314" spans="11:15">
      <c r="K2314" s="1465">
        <v>44371</v>
      </c>
      <c r="L2314" s="1466" t="s">
        <v>2125</v>
      </c>
      <c r="M2314" s="1467">
        <v>1.6136999999999999E-2</v>
      </c>
      <c r="N2314" s="1468">
        <v>1.6363863198349524</v>
      </c>
      <c r="O2314" s="1468"/>
    </row>
    <row r="2315" spans="11:15">
      <c r="K2315" s="1465">
        <v>44372</v>
      </c>
      <c r="L2315" s="1466" t="s">
        <v>2125</v>
      </c>
      <c r="M2315" s="1467">
        <v>1.6136999999999999E-2</v>
      </c>
      <c r="N2315" s="1468">
        <v>1.6366503834953843</v>
      </c>
      <c r="O2315" s="1468"/>
    </row>
    <row r="2316" spans="11:15">
      <c r="K2316" s="1465">
        <v>44373</v>
      </c>
      <c r="L2316" s="1466"/>
      <c r="M2316" s="1467">
        <v>0</v>
      </c>
      <c r="N2316" s="1468">
        <v>1.6366503834953843</v>
      </c>
      <c r="O2316" s="1468"/>
    </row>
    <row r="2317" spans="11:15">
      <c r="K2317" s="1465">
        <v>44374</v>
      </c>
      <c r="L2317" s="1466"/>
      <c r="M2317" s="1467">
        <v>0</v>
      </c>
      <c r="N2317" s="1468">
        <v>1.6366503834953843</v>
      </c>
      <c r="O2317" s="1468"/>
    </row>
    <row r="2318" spans="11:15">
      <c r="K2318" s="1465">
        <v>44375</v>
      </c>
      <c r="L2318" s="1466" t="s">
        <v>2125</v>
      </c>
      <c r="M2318" s="1467">
        <v>1.6136999999999999E-2</v>
      </c>
      <c r="N2318" s="1468">
        <v>1.636914489767769</v>
      </c>
      <c r="O2318" s="1468"/>
    </row>
    <row r="2319" spans="11:15">
      <c r="K2319" s="1465">
        <v>44376</v>
      </c>
      <c r="L2319" s="1466" t="s">
        <v>2125</v>
      </c>
      <c r="M2319" s="1467">
        <v>1.6136999999999999E-2</v>
      </c>
      <c r="N2319" s="1468">
        <v>1.6371786386589828</v>
      </c>
      <c r="O2319" s="1468"/>
    </row>
    <row r="2320" spans="11:15">
      <c r="K2320" s="1465">
        <v>44377</v>
      </c>
      <c r="L2320" s="1466" t="s">
        <v>2125</v>
      </c>
      <c r="M2320" s="1467">
        <v>1.6136999999999999E-2</v>
      </c>
      <c r="N2320" s="1468">
        <v>1.6374428301759034</v>
      </c>
      <c r="O2320" s="1468"/>
    </row>
    <row r="2321" spans="11:15">
      <c r="K2321" s="1465">
        <v>44378</v>
      </c>
      <c r="L2321" s="1466" t="s">
        <v>2125</v>
      </c>
      <c r="M2321" s="1467">
        <v>1.6136999999999999E-2</v>
      </c>
      <c r="N2321" s="1468">
        <v>1.637707064325409</v>
      </c>
      <c r="O2321" s="1468"/>
    </row>
    <row r="2322" spans="11:15">
      <c r="K2322" s="1465">
        <v>44379</v>
      </c>
      <c r="L2322" s="1466" t="s">
        <v>2125</v>
      </c>
      <c r="M2322" s="1467">
        <v>1.6136999999999999E-2</v>
      </c>
      <c r="N2322" s="1468">
        <v>1.6379713411143793</v>
      </c>
      <c r="O2322" s="1468"/>
    </row>
    <row r="2323" spans="11:15">
      <c r="K2323" s="1465">
        <v>44380</v>
      </c>
      <c r="L2323" s="1466"/>
      <c r="M2323" s="1467">
        <v>0</v>
      </c>
      <c r="N2323" s="1468">
        <v>1.6379713411143793</v>
      </c>
      <c r="O2323" s="1468"/>
    </row>
    <row r="2324" spans="11:15">
      <c r="K2324" s="1465">
        <v>44381</v>
      </c>
      <c r="L2324" s="1466"/>
      <c r="M2324" s="1467">
        <v>0</v>
      </c>
      <c r="N2324" s="1468">
        <v>1.6379713411143793</v>
      </c>
      <c r="O2324" s="1468"/>
    </row>
    <row r="2325" spans="11:15">
      <c r="K2325" s="1465">
        <v>44382</v>
      </c>
      <c r="L2325" s="1466" t="s">
        <v>2125</v>
      </c>
      <c r="M2325" s="1467">
        <v>1.6136999999999999E-2</v>
      </c>
      <c r="N2325" s="1468">
        <v>1.638235660549695</v>
      </c>
      <c r="O2325" s="1468"/>
    </row>
    <row r="2326" spans="11:15">
      <c r="K2326" s="1465">
        <v>44383</v>
      </c>
      <c r="L2326" s="1466" t="s">
        <v>2125</v>
      </c>
      <c r="M2326" s="1467">
        <v>1.6136999999999999E-2</v>
      </c>
      <c r="N2326" s="1468">
        <v>1.638500022638238</v>
      </c>
      <c r="O2326" s="1468"/>
    </row>
    <row r="2327" spans="11:15">
      <c r="K2327" s="1465">
        <v>44384</v>
      </c>
      <c r="L2327" s="1466" t="s">
        <v>2125</v>
      </c>
      <c r="M2327" s="1467">
        <v>1.6136999999999999E-2</v>
      </c>
      <c r="N2327" s="1468">
        <v>1.6387644273868913</v>
      </c>
      <c r="O2327" s="1468"/>
    </row>
    <row r="2328" spans="11:15">
      <c r="K2328" s="1465">
        <v>44385</v>
      </c>
      <c r="L2328" s="1466" t="s">
        <v>2125</v>
      </c>
      <c r="M2328" s="1467">
        <v>1.6136999999999999E-2</v>
      </c>
      <c r="N2328" s="1468">
        <v>1.6390288748025388</v>
      </c>
      <c r="O2328" s="1468"/>
    </row>
    <row r="2329" spans="11:15">
      <c r="K2329" s="1465">
        <v>44386</v>
      </c>
      <c r="L2329" s="1466" t="s">
        <v>2125</v>
      </c>
      <c r="M2329" s="1467">
        <v>1.6136999999999999E-2</v>
      </c>
      <c r="N2329" s="1468">
        <v>1.6392933648920658</v>
      </c>
      <c r="O2329" s="1468"/>
    </row>
    <row r="2330" spans="11:15">
      <c r="K2330" s="1465">
        <v>44387</v>
      </c>
      <c r="L2330" s="1466"/>
      <c r="M2330" s="1467">
        <v>0</v>
      </c>
      <c r="N2330" s="1468">
        <v>1.6392933648920658</v>
      </c>
      <c r="O2330" s="1468"/>
    </row>
    <row r="2331" spans="11:15">
      <c r="K2331" s="1465">
        <v>44388</v>
      </c>
      <c r="L2331" s="1466"/>
      <c r="M2331" s="1467">
        <v>0</v>
      </c>
      <c r="N2331" s="1468">
        <v>1.6392933648920658</v>
      </c>
      <c r="O2331" s="1468"/>
    </row>
    <row r="2332" spans="11:15">
      <c r="K2332" s="1465">
        <v>44389</v>
      </c>
      <c r="L2332" s="1466" t="s">
        <v>2125</v>
      </c>
      <c r="M2332" s="1467">
        <v>1.6136999999999999E-2</v>
      </c>
      <c r="N2332" s="1468">
        <v>1.6395578976623586</v>
      </c>
      <c r="O2332" s="1468"/>
    </row>
    <row r="2333" spans="11:15">
      <c r="K2333" s="1465">
        <v>44390</v>
      </c>
      <c r="L2333" s="1466" t="s">
        <v>2125</v>
      </c>
      <c r="M2333" s="1467">
        <v>1.6136999999999999E-2</v>
      </c>
      <c r="N2333" s="1468">
        <v>1.6398224731203044</v>
      </c>
      <c r="O2333" s="1468"/>
    </row>
    <row r="2334" spans="11:15">
      <c r="K2334" s="1465">
        <v>44391</v>
      </c>
      <c r="L2334" s="1466" t="s">
        <v>2125</v>
      </c>
      <c r="M2334" s="1467">
        <v>1.6136999999999999E-2</v>
      </c>
      <c r="N2334" s="1468">
        <v>1.6400870912727918</v>
      </c>
      <c r="O2334" s="1468"/>
    </row>
    <row r="2335" spans="11:15">
      <c r="K2335" s="1465">
        <v>44392</v>
      </c>
      <c r="L2335" s="1466" t="s">
        <v>2125</v>
      </c>
      <c r="M2335" s="1467">
        <v>1.6136999999999999E-2</v>
      </c>
      <c r="N2335" s="1468">
        <v>1.6403517521267106</v>
      </c>
      <c r="O2335" s="1468"/>
    </row>
    <row r="2336" spans="11:15">
      <c r="K2336" s="1465">
        <v>44393</v>
      </c>
      <c r="L2336" s="1466" t="s">
        <v>2125</v>
      </c>
      <c r="M2336" s="1467">
        <v>1.6136999999999999E-2</v>
      </c>
      <c r="N2336" s="1468">
        <v>1.6406164556889513</v>
      </c>
      <c r="O2336" s="1468"/>
    </row>
    <row r="2337" spans="11:15">
      <c r="K2337" s="1465">
        <v>44394</v>
      </c>
      <c r="L2337" s="1466"/>
      <c r="M2337" s="1467">
        <v>0</v>
      </c>
      <c r="N2337" s="1468">
        <v>1.6406164556889513</v>
      </c>
      <c r="O2337" s="1468"/>
    </row>
    <row r="2338" spans="11:15">
      <c r="K2338" s="1465">
        <v>44395</v>
      </c>
      <c r="L2338" s="1466"/>
      <c r="M2338" s="1467">
        <v>0</v>
      </c>
      <c r="N2338" s="1468">
        <v>1.6406164556889513</v>
      </c>
      <c r="O2338" s="1468"/>
    </row>
    <row r="2339" spans="11:15">
      <c r="K2339" s="1465">
        <v>44396</v>
      </c>
      <c r="L2339" s="1466" t="s">
        <v>2125</v>
      </c>
      <c r="M2339" s="1467">
        <v>1.6136999999999999E-2</v>
      </c>
      <c r="N2339" s="1468">
        <v>1.6408812019664059</v>
      </c>
      <c r="O2339" s="1468"/>
    </row>
    <row r="2340" spans="11:15">
      <c r="K2340" s="1465">
        <v>44397</v>
      </c>
      <c r="L2340" s="1466" t="s">
        <v>2125</v>
      </c>
      <c r="M2340" s="1467">
        <v>1.6136999999999999E-2</v>
      </c>
      <c r="N2340" s="1468">
        <v>1.6411459909659674</v>
      </c>
      <c r="O2340" s="1468"/>
    </row>
    <row r="2341" spans="11:15">
      <c r="K2341" s="1465">
        <v>44398</v>
      </c>
      <c r="L2341" s="1466" t="s">
        <v>2125</v>
      </c>
      <c r="M2341" s="1467">
        <v>1.6136999999999999E-2</v>
      </c>
      <c r="N2341" s="1468">
        <v>1.6414108226945296</v>
      </c>
      <c r="O2341" s="1468"/>
    </row>
    <row r="2342" spans="11:15">
      <c r="K2342" s="1465">
        <v>44399</v>
      </c>
      <c r="L2342" s="1466" t="s">
        <v>2125</v>
      </c>
      <c r="M2342" s="1467">
        <v>1.6136999999999999E-2</v>
      </c>
      <c r="N2342" s="1468">
        <v>1.6416756971589879</v>
      </c>
      <c r="O2342" s="1468"/>
    </row>
    <row r="2343" spans="11:15">
      <c r="K2343" s="1465">
        <v>44400</v>
      </c>
      <c r="L2343" s="1466" t="s">
        <v>2125</v>
      </c>
      <c r="M2343" s="1467">
        <v>1.6136999999999999E-2</v>
      </c>
      <c r="N2343" s="1468">
        <v>1.6419406143662385</v>
      </c>
      <c r="O2343" s="1468"/>
    </row>
    <row r="2344" spans="11:15">
      <c r="K2344" s="1465">
        <v>44401</v>
      </c>
      <c r="L2344" s="1466"/>
      <c r="M2344" s="1467">
        <v>0</v>
      </c>
      <c r="N2344" s="1468">
        <v>1.6419406143662385</v>
      </c>
      <c r="O2344" s="1468"/>
    </row>
    <row r="2345" spans="11:15">
      <c r="K2345" s="1465">
        <v>44402</v>
      </c>
      <c r="L2345" s="1466"/>
      <c r="M2345" s="1467">
        <v>0</v>
      </c>
      <c r="N2345" s="1468">
        <v>1.6419406143662385</v>
      </c>
      <c r="O2345" s="1468"/>
    </row>
    <row r="2346" spans="11:15">
      <c r="K2346" s="1465">
        <v>44403</v>
      </c>
      <c r="L2346" s="1466" t="s">
        <v>2125</v>
      </c>
      <c r="M2346" s="1467">
        <v>1.6136999999999999E-2</v>
      </c>
      <c r="N2346" s="1468">
        <v>1.6422055743231789</v>
      </c>
      <c r="O2346" s="1468"/>
    </row>
    <row r="2347" spans="11:15">
      <c r="K2347" s="1465">
        <v>44404</v>
      </c>
      <c r="L2347" s="1466" t="s">
        <v>2125</v>
      </c>
      <c r="M2347" s="1467">
        <v>1.6136999999999999E-2</v>
      </c>
      <c r="N2347" s="1468">
        <v>1.6424705770367076</v>
      </c>
      <c r="O2347" s="1468"/>
    </row>
    <row r="2348" spans="11:15">
      <c r="K2348" s="1465">
        <v>44405</v>
      </c>
      <c r="L2348" s="1466" t="s">
        <v>2125</v>
      </c>
      <c r="M2348" s="1467">
        <v>1.6136999999999999E-2</v>
      </c>
      <c r="N2348" s="1468">
        <v>1.6427356225137242</v>
      </c>
      <c r="O2348" s="1468"/>
    </row>
    <row r="2349" spans="11:15">
      <c r="K2349" s="1465">
        <v>44406</v>
      </c>
      <c r="L2349" s="1466" t="s">
        <v>2125</v>
      </c>
      <c r="M2349" s="1467">
        <v>1.6136999999999999E-2</v>
      </c>
      <c r="N2349" s="1468">
        <v>1.6430007107611293</v>
      </c>
      <c r="O2349" s="1468"/>
    </row>
    <row r="2350" spans="11:15">
      <c r="K2350" s="1465">
        <v>44407</v>
      </c>
      <c r="L2350" s="1466" t="s">
        <v>2125</v>
      </c>
      <c r="M2350" s="1467">
        <v>1.6136999999999999E-2</v>
      </c>
      <c r="N2350" s="1468">
        <v>1.6432658417858248</v>
      </c>
      <c r="O2350" s="1468"/>
    </row>
    <row r="2351" spans="11:15">
      <c r="K2351" s="1465">
        <v>44408</v>
      </c>
      <c r="L2351" s="1466"/>
      <c r="M2351" s="1467">
        <v>0</v>
      </c>
      <c r="N2351" s="1468">
        <v>1.6432658417858248</v>
      </c>
      <c r="O2351" s="1468"/>
    </row>
    <row r="2352" spans="11:15">
      <c r="K2352" s="1465">
        <v>44409</v>
      </c>
      <c r="L2352" s="1466"/>
      <c r="M2352" s="1467">
        <v>0</v>
      </c>
      <c r="N2352" s="1468">
        <v>1.6432658417858248</v>
      </c>
      <c r="O2352" s="1468"/>
    </row>
    <row r="2353" spans="11:15">
      <c r="K2353" s="1465">
        <v>44410</v>
      </c>
      <c r="L2353" s="1466" t="s">
        <v>2125</v>
      </c>
      <c r="M2353" s="1467">
        <v>1.6136999999999999E-2</v>
      </c>
      <c r="N2353" s="1468">
        <v>1.6435310155947138</v>
      </c>
      <c r="O2353" s="1468"/>
    </row>
    <row r="2354" spans="11:15">
      <c r="K2354" s="1465">
        <v>44411</v>
      </c>
      <c r="L2354" s="1466" t="s">
        <v>2125</v>
      </c>
      <c r="M2354" s="1467">
        <v>1.6136999999999999E-2</v>
      </c>
      <c r="N2354" s="1468">
        <v>1.6437962321947004</v>
      </c>
      <c r="O2354" s="1468"/>
    </row>
    <row r="2355" spans="11:15">
      <c r="K2355" s="1465">
        <v>44412</v>
      </c>
      <c r="L2355" s="1466" t="s">
        <v>2125</v>
      </c>
      <c r="M2355" s="1467">
        <v>1.6136999999999999E-2</v>
      </c>
      <c r="N2355" s="1468">
        <v>1.6440614915926897</v>
      </c>
      <c r="O2355" s="1468"/>
    </row>
    <row r="2356" spans="11:15">
      <c r="K2356" s="1465">
        <v>44413</v>
      </c>
      <c r="L2356" s="1466" t="s">
        <v>2125</v>
      </c>
      <c r="M2356" s="1467">
        <v>1.993E-2</v>
      </c>
      <c r="N2356" s="1468">
        <v>1.6443891530479642</v>
      </c>
      <c r="O2356" s="1468"/>
    </row>
    <row r="2357" spans="11:15">
      <c r="K2357" s="1465">
        <v>44414</v>
      </c>
      <c r="L2357" s="1466" t="s">
        <v>2125</v>
      </c>
      <c r="M2357" s="1467">
        <v>1.993E-2</v>
      </c>
      <c r="N2357" s="1468">
        <v>1.6447168798061667</v>
      </c>
      <c r="O2357" s="1468"/>
    </row>
    <row r="2358" spans="11:15">
      <c r="K2358" s="1465">
        <v>44415</v>
      </c>
      <c r="L2358" s="1466"/>
      <c r="M2358" s="1467">
        <v>0</v>
      </c>
      <c r="N2358" s="1468">
        <v>1.6447168798061667</v>
      </c>
      <c r="O2358" s="1468"/>
    </row>
    <row r="2359" spans="11:15">
      <c r="K2359" s="1465">
        <v>44416</v>
      </c>
      <c r="L2359" s="1466"/>
      <c r="M2359" s="1467">
        <v>0</v>
      </c>
      <c r="N2359" s="1468">
        <v>1.6447168798061667</v>
      </c>
      <c r="O2359" s="1468"/>
    </row>
    <row r="2360" spans="11:15">
      <c r="K2360" s="1465">
        <v>44417</v>
      </c>
      <c r="L2360" s="1466" t="s">
        <v>2125</v>
      </c>
      <c r="M2360" s="1467">
        <v>1.993E-2</v>
      </c>
      <c r="N2360" s="1468">
        <v>1.645044671880312</v>
      </c>
      <c r="O2360" s="1468"/>
    </row>
    <row r="2361" spans="11:15">
      <c r="K2361" s="1465">
        <v>44418</v>
      </c>
      <c r="L2361" s="1466" t="s">
        <v>2125</v>
      </c>
      <c r="M2361" s="1467">
        <v>1.993E-2</v>
      </c>
      <c r="N2361" s="1468">
        <v>1.6453725292834178</v>
      </c>
      <c r="O2361" s="1468"/>
    </row>
    <row r="2362" spans="11:15">
      <c r="K2362" s="1465">
        <v>44419</v>
      </c>
      <c r="L2362" s="1466" t="s">
        <v>2125</v>
      </c>
      <c r="M2362" s="1467">
        <v>1.993E-2</v>
      </c>
      <c r="N2362" s="1468">
        <v>1.6457004520285041</v>
      </c>
      <c r="O2362" s="1468"/>
    </row>
    <row r="2363" spans="11:15">
      <c r="K2363" s="1465">
        <v>44420</v>
      </c>
      <c r="L2363" s="1466" t="s">
        <v>2125</v>
      </c>
      <c r="M2363" s="1467">
        <v>1.993E-2</v>
      </c>
      <c r="N2363" s="1468">
        <v>1.6460284401285934</v>
      </c>
      <c r="O2363" s="1468"/>
    </row>
    <row r="2364" spans="11:15">
      <c r="K2364" s="1465">
        <v>44421</v>
      </c>
      <c r="L2364" s="1466" t="s">
        <v>2125</v>
      </c>
      <c r="M2364" s="1467">
        <v>1.993E-2</v>
      </c>
      <c r="N2364" s="1468">
        <v>1.646356493596711</v>
      </c>
      <c r="O2364" s="1468"/>
    </row>
    <row r="2365" spans="11:15">
      <c r="K2365" s="1465">
        <v>44422</v>
      </c>
      <c r="L2365" s="1466"/>
      <c r="M2365" s="1467">
        <v>0</v>
      </c>
      <c r="N2365" s="1468">
        <v>1.646356493596711</v>
      </c>
      <c r="O2365" s="1468"/>
    </row>
    <row r="2366" spans="11:15">
      <c r="K2366" s="1465">
        <v>44423</v>
      </c>
      <c r="L2366" s="1466"/>
      <c r="M2366" s="1467">
        <v>0</v>
      </c>
      <c r="N2366" s="1468">
        <v>1.646356493596711</v>
      </c>
      <c r="O2366" s="1468"/>
    </row>
    <row r="2367" spans="11:15">
      <c r="K2367" s="1465">
        <v>44424</v>
      </c>
      <c r="L2367" s="1466" t="s">
        <v>2125</v>
      </c>
      <c r="M2367" s="1467">
        <v>1.993E-2</v>
      </c>
      <c r="N2367" s="1468">
        <v>1.6466846124458849</v>
      </c>
      <c r="O2367" s="1468"/>
    </row>
    <row r="2368" spans="11:15">
      <c r="K2368" s="1465">
        <v>44425</v>
      </c>
      <c r="L2368" s="1466" t="s">
        <v>2125</v>
      </c>
      <c r="M2368" s="1467">
        <v>1.993E-2</v>
      </c>
      <c r="N2368" s="1468">
        <v>1.6470127966891455</v>
      </c>
      <c r="O2368" s="1468"/>
    </row>
    <row r="2369" spans="11:15">
      <c r="K2369" s="1465">
        <v>44426</v>
      </c>
      <c r="L2369" s="1466" t="s">
        <v>2125</v>
      </c>
      <c r="M2369" s="1467">
        <v>1.993E-2</v>
      </c>
      <c r="N2369" s="1468">
        <v>1.6473410463395257</v>
      </c>
      <c r="O2369" s="1468"/>
    </row>
    <row r="2370" spans="11:15">
      <c r="K2370" s="1465">
        <v>44427</v>
      </c>
      <c r="L2370" s="1466" t="s">
        <v>2125</v>
      </c>
      <c r="M2370" s="1467">
        <v>1.993E-2</v>
      </c>
      <c r="N2370" s="1468">
        <v>1.6476693614100613</v>
      </c>
      <c r="O2370" s="1468"/>
    </row>
    <row r="2371" spans="11:15">
      <c r="K2371" s="1465">
        <v>44428</v>
      </c>
      <c r="L2371" s="1466" t="s">
        <v>2125</v>
      </c>
      <c r="M2371" s="1467">
        <v>1.993E-2</v>
      </c>
      <c r="N2371" s="1468">
        <v>1.6479977419137903</v>
      </c>
      <c r="O2371" s="1468"/>
    </row>
    <row r="2372" spans="11:15">
      <c r="K2372" s="1465">
        <v>44429</v>
      </c>
      <c r="L2372" s="1466"/>
      <c r="M2372" s="1467">
        <v>0</v>
      </c>
      <c r="N2372" s="1468">
        <v>1.6479977419137903</v>
      </c>
      <c r="O2372" s="1468"/>
    </row>
    <row r="2373" spans="11:15">
      <c r="K2373" s="1465">
        <v>44430</v>
      </c>
      <c r="L2373" s="1466"/>
      <c r="M2373" s="1467">
        <v>0</v>
      </c>
      <c r="N2373" s="1468">
        <v>1.6479977419137903</v>
      </c>
      <c r="O2373" s="1468"/>
    </row>
    <row r="2374" spans="11:15">
      <c r="K2374" s="1465">
        <v>44431</v>
      </c>
      <c r="L2374" s="1466" t="s">
        <v>2125</v>
      </c>
      <c r="M2374" s="1467">
        <v>1.993E-2</v>
      </c>
      <c r="N2374" s="1468">
        <v>1.6483261878637538</v>
      </c>
      <c r="O2374" s="1468"/>
    </row>
    <row r="2375" spans="11:15">
      <c r="K2375" s="1465">
        <v>44432</v>
      </c>
      <c r="L2375" s="1466" t="s">
        <v>2125</v>
      </c>
      <c r="M2375" s="1467">
        <v>1.993E-2</v>
      </c>
      <c r="N2375" s="1468">
        <v>1.6486546992729951</v>
      </c>
      <c r="O2375" s="1468"/>
    </row>
    <row r="2376" spans="11:15">
      <c r="K2376" s="1465">
        <v>44433</v>
      </c>
      <c r="L2376" s="1466" t="s">
        <v>2125</v>
      </c>
      <c r="M2376" s="1467">
        <v>1.993E-2</v>
      </c>
      <c r="N2376" s="1468">
        <v>1.6489832761545602</v>
      </c>
      <c r="O2376" s="1468"/>
    </row>
    <row r="2377" spans="11:15">
      <c r="K2377" s="1465">
        <v>44434</v>
      </c>
      <c r="L2377" s="1466" t="s">
        <v>2125</v>
      </c>
      <c r="M2377" s="1467">
        <v>1.993E-2</v>
      </c>
      <c r="N2377" s="1468">
        <v>1.6493119185214977</v>
      </c>
      <c r="O2377" s="1468"/>
    </row>
    <row r="2378" spans="11:15">
      <c r="K2378" s="1465">
        <v>44435</v>
      </c>
      <c r="L2378" s="1466" t="s">
        <v>2125</v>
      </c>
      <c r="M2378" s="1467">
        <v>1.993E-2</v>
      </c>
      <c r="N2378" s="1468">
        <v>1.649640626386859</v>
      </c>
      <c r="O2378" s="1468"/>
    </row>
    <row r="2379" spans="11:15">
      <c r="K2379" s="1465">
        <v>44436</v>
      </c>
      <c r="L2379" s="1466"/>
      <c r="M2379" s="1467">
        <v>0</v>
      </c>
      <c r="N2379" s="1468">
        <v>1.649640626386859</v>
      </c>
      <c r="O2379" s="1468"/>
    </row>
    <row r="2380" spans="11:15">
      <c r="K2380" s="1465">
        <v>44437</v>
      </c>
      <c r="L2380" s="1466"/>
      <c r="M2380" s="1467">
        <v>0</v>
      </c>
      <c r="N2380" s="1468">
        <v>1.649640626386859</v>
      </c>
      <c r="O2380" s="1468"/>
    </row>
    <row r="2381" spans="11:15">
      <c r="K2381" s="1465">
        <v>44438</v>
      </c>
      <c r="L2381" s="1466" t="s">
        <v>2125</v>
      </c>
      <c r="M2381" s="1467">
        <v>1.993E-2</v>
      </c>
      <c r="N2381" s="1468">
        <v>1.6499693997636979</v>
      </c>
      <c r="O2381" s="1468"/>
    </row>
    <row r="2382" spans="11:15">
      <c r="K2382" s="1465">
        <v>44439</v>
      </c>
      <c r="L2382" s="1466" t="s">
        <v>2125</v>
      </c>
      <c r="M2382" s="1467">
        <v>1.993E-2</v>
      </c>
      <c r="N2382" s="1468">
        <v>1.6502982386650709</v>
      </c>
      <c r="O2382" s="1468"/>
    </row>
    <row r="2383" spans="11:15">
      <c r="K2383" s="1465">
        <v>44440</v>
      </c>
      <c r="L2383" s="1466" t="s">
        <v>2125</v>
      </c>
      <c r="M2383" s="1467">
        <v>1.993E-2</v>
      </c>
      <c r="N2383" s="1468">
        <v>1.6506271431040369</v>
      </c>
      <c r="O2383" s="1468"/>
    </row>
    <row r="2384" spans="11:15">
      <c r="K2384" s="1465">
        <v>44441</v>
      </c>
      <c r="L2384" s="1466" t="s">
        <v>2125</v>
      </c>
      <c r="M2384" s="1467">
        <v>1.993E-2</v>
      </c>
      <c r="N2384" s="1468">
        <v>1.6509561130936576</v>
      </c>
      <c r="O2384" s="1468"/>
    </row>
    <row r="2385" spans="11:15">
      <c r="K2385" s="1465">
        <v>44442</v>
      </c>
      <c r="L2385" s="1466" t="s">
        <v>2125</v>
      </c>
      <c r="M2385" s="1467">
        <v>1.993E-2</v>
      </c>
      <c r="N2385" s="1468">
        <v>1.6512851486469973</v>
      </c>
      <c r="O2385" s="1468"/>
    </row>
    <row r="2386" spans="11:15">
      <c r="K2386" s="1465">
        <v>44443</v>
      </c>
      <c r="L2386" s="1466"/>
      <c r="M2386" s="1467">
        <v>0</v>
      </c>
      <c r="N2386" s="1468">
        <v>1.6512851486469973</v>
      </c>
      <c r="O2386" s="1468"/>
    </row>
    <row r="2387" spans="11:15">
      <c r="K2387" s="1465">
        <v>44444</v>
      </c>
      <c r="L2387" s="1466"/>
      <c r="M2387" s="1467">
        <v>0</v>
      </c>
      <c r="N2387" s="1468">
        <v>1.6512851486469973</v>
      </c>
      <c r="O2387" s="1468"/>
    </row>
    <row r="2388" spans="11:15">
      <c r="K2388" s="1465">
        <v>44445</v>
      </c>
      <c r="L2388" s="1466" t="s">
        <v>2125</v>
      </c>
      <c r="M2388" s="1467">
        <v>1.993E-2</v>
      </c>
      <c r="N2388" s="1468">
        <v>1.6516142497771227</v>
      </c>
      <c r="O2388" s="1468"/>
    </row>
    <row r="2389" spans="11:15">
      <c r="K2389" s="1465">
        <v>44446</v>
      </c>
      <c r="L2389" s="1466"/>
      <c r="M2389" s="1467">
        <v>0</v>
      </c>
      <c r="N2389" s="1468">
        <v>1.6516142497771227</v>
      </c>
      <c r="O2389" s="1468"/>
    </row>
    <row r="2390" spans="11:15">
      <c r="K2390" s="1465">
        <v>44447</v>
      </c>
      <c r="L2390" s="1466" t="s">
        <v>2125</v>
      </c>
      <c r="M2390" s="1467">
        <v>1.993E-2</v>
      </c>
      <c r="N2390" s="1468">
        <v>1.6519434164971032</v>
      </c>
      <c r="O2390" s="1468"/>
    </row>
    <row r="2391" spans="11:15">
      <c r="K2391" s="1465">
        <v>44448</v>
      </c>
      <c r="L2391" s="1466" t="s">
        <v>2125</v>
      </c>
      <c r="M2391" s="1467">
        <v>1.993E-2</v>
      </c>
      <c r="N2391" s="1468">
        <v>1.652272648820011</v>
      </c>
      <c r="O2391" s="1468"/>
    </row>
    <row r="2392" spans="11:15">
      <c r="K2392" s="1465">
        <v>44449</v>
      </c>
      <c r="L2392" s="1466" t="s">
        <v>2125</v>
      </c>
      <c r="M2392" s="1467">
        <v>1.993E-2</v>
      </c>
      <c r="N2392" s="1468">
        <v>1.6526019467589208</v>
      </c>
      <c r="O2392" s="1468"/>
    </row>
    <row r="2393" spans="11:15">
      <c r="K2393" s="1465">
        <v>44450</v>
      </c>
      <c r="L2393" s="1466"/>
      <c r="M2393" s="1467">
        <v>0</v>
      </c>
      <c r="N2393" s="1468">
        <v>1.6526019467589208</v>
      </c>
      <c r="O2393" s="1468"/>
    </row>
    <row r="2394" spans="11:15">
      <c r="K2394" s="1465">
        <v>44451</v>
      </c>
      <c r="L2394" s="1466"/>
      <c r="M2394" s="1467">
        <v>0</v>
      </c>
      <c r="N2394" s="1468">
        <v>1.6526019467589208</v>
      </c>
      <c r="O2394" s="1468"/>
    </row>
    <row r="2395" spans="11:15">
      <c r="K2395" s="1465">
        <v>44452</v>
      </c>
      <c r="L2395" s="1466" t="s">
        <v>2125</v>
      </c>
      <c r="M2395" s="1467">
        <v>1.993E-2</v>
      </c>
      <c r="N2395" s="1468">
        <v>1.6529313103269099</v>
      </c>
      <c r="O2395" s="1468"/>
    </row>
    <row r="2396" spans="11:15">
      <c r="K2396" s="1465">
        <v>44453</v>
      </c>
      <c r="L2396" s="1466" t="s">
        <v>2125</v>
      </c>
      <c r="M2396" s="1467">
        <v>1.993E-2</v>
      </c>
      <c r="N2396" s="1468">
        <v>1.653260739537058</v>
      </c>
      <c r="O2396" s="1468"/>
    </row>
    <row r="2397" spans="11:15">
      <c r="K2397" s="1465">
        <v>44454</v>
      </c>
      <c r="L2397" s="1466" t="s">
        <v>2125</v>
      </c>
      <c r="M2397" s="1467">
        <v>1.993E-2</v>
      </c>
      <c r="N2397" s="1468">
        <v>1.6535902344024478</v>
      </c>
      <c r="O2397" s="1468"/>
    </row>
    <row r="2398" spans="11:15">
      <c r="K2398" s="1465">
        <v>44455</v>
      </c>
      <c r="L2398" s="1466" t="s">
        <v>2125</v>
      </c>
      <c r="M2398" s="1467">
        <v>1.993E-2</v>
      </c>
      <c r="N2398" s="1468">
        <v>1.6539197949361641</v>
      </c>
      <c r="O2398" s="1468"/>
    </row>
    <row r="2399" spans="11:15">
      <c r="K2399" s="1465">
        <v>44456</v>
      </c>
      <c r="L2399" s="1466" t="s">
        <v>2125</v>
      </c>
      <c r="M2399" s="1467">
        <v>1.993E-2</v>
      </c>
      <c r="N2399" s="1468">
        <v>1.654249421151295</v>
      </c>
      <c r="O2399" s="1468"/>
    </row>
    <row r="2400" spans="11:15">
      <c r="K2400" s="1465">
        <v>44457</v>
      </c>
      <c r="L2400" s="1466"/>
      <c r="M2400" s="1467">
        <v>0</v>
      </c>
      <c r="N2400" s="1468">
        <v>1.654249421151295</v>
      </c>
      <c r="O2400" s="1468"/>
    </row>
    <row r="2401" spans="11:15">
      <c r="K2401" s="1465">
        <v>44458</v>
      </c>
      <c r="L2401" s="1466"/>
      <c r="M2401" s="1467">
        <v>0</v>
      </c>
      <c r="N2401" s="1468">
        <v>1.654249421151295</v>
      </c>
      <c r="O2401" s="1468"/>
    </row>
    <row r="2402" spans="11:15">
      <c r="K2402" s="1465">
        <v>44459</v>
      </c>
      <c r="L2402" s="1466" t="s">
        <v>2125</v>
      </c>
      <c r="M2402" s="1467">
        <v>1.993E-2</v>
      </c>
      <c r="N2402" s="1468">
        <v>1.6545791130609304</v>
      </c>
      <c r="O2402" s="1468"/>
    </row>
    <row r="2403" spans="11:15">
      <c r="K2403" s="1465">
        <v>44460</v>
      </c>
      <c r="L2403" s="1466" t="s">
        <v>2125</v>
      </c>
      <c r="M2403" s="1467">
        <v>1.993E-2</v>
      </c>
      <c r="N2403" s="1468">
        <v>1.6549088706781634</v>
      </c>
      <c r="O2403" s="1468"/>
    </row>
    <row r="2404" spans="11:15">
      <c r="K2404" s="1465">
        <v>44461</v>
      </c>
      <c r="L2404" s="1466" t="s">
        <v>2125</v>
      </c>
      <c r="M2404" s="1467">
        <v>1.993E-2</v>
      </c>
      <c r="N2404" s="1468">
        <v>1.6552386940160895</v>
      </c>
      <c r="O2404" s="1468"/>
    </row>
    <row r="2405" spans="11:15">
      <c r="K2405" s="1465">
        <v>44462</v>
      </c>
      <c r="L2405" s="1466" t="s">
        <v>2125</v>
      </c>
      <c r="M2405" s="1467">
        <v>2.3687E-2</v>
      </c>
      <c r="N2405" s="1468">
        <v>1.6556307704055411</v>
      </c>
      <c r="O2405" s="1468"/>
    </row>
    <row r="2406" spans="11:15">
      <c r="K2406" s="1465">
        <v>44463</v>
      </c>
      <c r="L2406" s="1466" t="s">
        <v>2125</v>
      </c>
      <c r="M2406" s="1467">
        <v>2.3687E-2</v>
      </c>
      <c r="N2406" s="1468">
        <v>1.656022939666127</v>
      </c>
      <c r="O2406" s="1468"/>
    </row>
    <row r="2407" spans="11:15">
      <c r="K2407" s="1465">
        <v>44464</v>
      </c>
      <c r="L2407" s="1466"/>
      <c r="M2407" s="1467">
        <v>0</v>
      </c>
      <c r="N2407" s="1468">
        <v>1.656022939666127</v>
      </c>
      <c r="O2407" s="1468"/>
    </row>
    <row r="2408" spans="11:15">
      <c r="K2408" s="1465">
        <v>44465</v>
      </c>
      <c r="L2408" s="1466"/>
      <c r="M2408" s="1467">
        <v>0</v>
      </c>
      <c r="N2408" s="1468">
        <v>1.656022939666127</v>
      </c>
      <c r="O2408" s="1468"/>
    </row>
    <row r="2409" spans="11:15">
      <c r="K2409" s="1465">
        <v>44466</v>
      </c>
      <c r="L2409" s="1466" t="s">
        <v>2125</v>
      </c>
      <c r="M2409" s="1467">
        <v>2.3687E-2</v>
      </c>
      <c r="N2409" s="1468">
        <v>1.6564152018198457</v>
      </c>
      <c r="O2409" s="1468"/>
    </row>
    <row r="2410" spans="11:15">
      <c r="K2410" s="1465">
        <v>44467</v>
      </c>
      <c r="L2410" s="1466" t="s">
        <v>2125</v>
      </c>
      <c r="M2410" s="1467">
        <v>2.3687E-2</v>
      </c>
      <c r="N2410" s="1468">
        <v>1.6568075568887006</v>
      </c>
      <c r="O2410" s="1468"/>
    </row>
    <row r="2411" spans="11:15">
      <c r="K2411" s="1465">
        <v>44468</v>
      </c>
      <c r="L2411" s="1466" t="s">
        <v>2125</v>
      </c>
      <c r="M2411" s="1467">
        <v>2.3687E-2</v>
      </c>
      <c r="N2411" s="1468">
        <v>1.6572000048947009</v>
      </c>
      <c r="O2411" s="1468"/>
    </row>
    <row r="2412" spans="11:15">
      <c r="K2412" s="1465">
        <v>44469</v>
      </c>
      <c r="L2412" s="1466" t="s">
        <v>2125</v>
      </c>
      <c r="M2412" s="1467">
        <v>2.3687E-2</v>
      </c>
      <c r="N2412" s="1468">
        <v>1.6575925458598602</v>
      </c>
      <c r="O2412" s="1468"/>
    </row>
    <row r="2413" spans="11:15">
      <c r="K2413" s="1465">
        <v>44470</v>
      </c>
      <c r="L2413" s="1466" t="s">
        <v>2125</v>
      </c>
      <c r="M2413" s="1467">
        <v>2.3687E-2</v>
      </c>
      <c r="N2413" s="1468">
        <v>1.657985179806198</v>
      </c>
      <c r="O2413" s="1468"/>
    </row>
    <row r="2414" spans="11:15">
      <c r="K2414" s="1465">
        <v>44471</v>
      </c>
      <c r="L2414" s="1466"/>
      <c r="M2414" s="1467">
        <v>0</v>
      </c>
      <c r="N2414" s="1468">
        <v>1.657985179806198</v>
      </c>
      <c r="O2414" s="1468"/>
    </row>
    <row r="2415" spans="11:15">
      <c r="K2415" s="1465">
        <v>44472</v>
      </c>
      <c r="L2415" s="1466"/>
      <c r="M2415" s="1467">
        <v>0</v>
      </c>
      <c r="N2415" s="1468">
        <v>1.657985179806198</v>
      </c>
      <c r="O2415" s="1468"/>
    </row>
    <row r="2416" spans="11:15">
      <c r="K2416" s="1465">
        <v>44473</v>
      </c>
      <c r="L2416" s="1466" t="s">
        <v>2125</v>
      </c>
      <c r="M2416" s="1467">
        <v>2.3687E-2</v>
      </c>
      <c r="N2416" s="1468">
        <v>1.6583779067557385</v>
      </c>
      <c r="O2416" s="1468"/>
    </row>
    <row r="2417" spans="11:15">
      <c r="K2417" s="1465">
        <v>44474</v>
      </c>
      <c r="L2417" s="1466" t="s">
        <v>2125</v>
      </c>
      <c r="M2417" s="1467">
        <v>2.3687E-2</v>
      </c>
      <c r="N2417" s="1468">
        <v>1.6587707267305116</v>
      </c>
      <c r="O2417" s="1468"/>
    </row>
    <row r="2418" spans="11:15">
      <c r="K2418" s="1465">
        <v>44475</v>
      </c>
      <c r="L2418" s="1466" t="s">
        <v>2125</v>
      </c>
      <c r="M2418" s="1467">
        <v>2.3687E-2</v>
      </c>
      <c r="N2418" s="1468">
        <v>1.6591636397525522</v>
      </c>
      <c r="O2418" s="1468"/>
    </row>
    <row r="2419" spans="11:15">
      <c r="K2419" s="1465">
        <v>44476</v>
      </c>
      <c r="L2419" s="1466" t="s">
        <v>2125</v>
      </c>
      <c r="M2419" s="1467">
        <v>2.3687E-2</v>
      </c>
      <c r="N2419" s="1468">
        <v>1.6595566458439004</v>
      </c>
      <c r="O2419" s="1468"/>
    </row>
    <row r="2420" spans="11:15">
      <c r="K2420" s="1465">
        <v>44477</v>
      </c>
      <c r="L2420" s="1466" t="s">
        <v>2125</v>
      </c>
      <c r="M2420" s="1467">
        <v>2.3687E-2</v>
      </c>
      <c r="N2420" s="1468">
        <v>1.6599497450266014</v>
      </c>
      <c r="O2420" s="1468"/>
    </row>
    <row r="2421" spans="11:15">
      <c r="K2421" s="1465">
        <v>44478</v>
      </c>
      <c r="L2421" s="1466"/>
      <c r="M2421" s="1467">
        <v>0</v>
      </c>
      <c r="N2421" s="1468">
        <v>1.6599497450266014</v>
      </c>
      <c r="O2421" s="1468"/>
    </row>
    <row r="2422" spans="11:15">
      <c r="K2422" s="1465">
        <v>44479</v>
      </c>
      <c r="L2422" s="1466"/>
      <c r="M2422" s="1467">
        <v>0</v>
      </c>
      <c r="N2422" s="1468">
        <v>1.6599497450266014</v>
      </c>
      <c r="O2422" s="1468"/>
    </row>
    <row r="2423" spans="11:15">
      <c r="K2423" s="1465">
        <v>44480</v>
      </c>
      <c r="L2423" s="1466" t="s">
        <v>2125</v>
      </c>
      <c r="M2423" s="1467">
        <v>2.3687E-2</v>
      </c>
      <c r="N2423" s="1468">
        <v>1.6603429373227059</v>
      </c>
      <c r="O2423" s="1468"/>
    </row>
    <row r="2424" spans="11:15">
      <c r="K2424" s="1465">
        <v>44481</v>
      </c>
      <c r="L2424" s="1466"/>
      <c r="M2424" s="1467">
        <v>0</v>
      </c>
      <c r="N2424" s="1468">
        <v>1.6603429373227059</v>
      </c>
      <c r="O2424" s="1468"/>
    </row>
    <row r="2425" spans="11:15">
      <c r="K2425" s="1465">
        <v>44482</v>
      </c>
      <c r="L2425" s="1466" t="s">
        <v>2125</v>
      </c>
      <c r="M2425" s="1467">
        <v>2.3687E-2</v>
      </c>
      <c r="N2425" s="1468">
        <v>1.6607362227542695</v>
      </c>
      <c r="O2425" s="1468"/>
    </row>
    <row r="2426" spans="11:15">
      <c r="K2426" s="1465">
        <v>44483</v>
      </c>
      <c r="L2426" s="1466" t="s">
        <v>2125</v>
      </c>
      <c r="M2426" s="1467">
        <v>2.3687E-2</v>
      </c>
      <c r="N2426" s="1468">
        <v>1.6611296013433532</v>
      </c>
      <c r="O2426" s="1468"/>
    </row>
    <row r="2427" spans="11:15">
      <c r="K2427" s="1465">
        <v>44484</v>
      </c>
      <c r="L2427" s="1466" t="s">
        <v>2125</v>
      </c>
      <c r="M2427" s="1467">
        <v>2.3687E-2</v>
      </c>
      <c r="N2427" s="1468">
        <v>1.6615230731120234</v>
      </c>
      <c r="O2427" s="1468"/>
    </row>
    <row r="2428" spans="11:15">
      <c r="K2428" s="1465">
        <v>44485</v>
      </c>
      <c r="L2428" s="1466"/>
      <c r="M2428" s="1467">
        <v>0</v>
      </c>
      <c r="N2428" s="1468">
        <v>1.6615230731120234</v>
      </c>
      <c r="O2428" s="1468"/>
    </row>
    <row r="2429" spans="11:15">
      <c r="K2429" s="1465">
        <v>44486</v>
      </c>
      <c r="L2429" s="1466"/>
      <c r="M2429" s="1467">
        <v>0</v>
      </c>
      <c r="N2429" s="1468">
        <v>1.6615230731120234</v>
      </c>
      <c r="O2429" s="1468"/>
    </row>
    <row r="2430" spans="11:15">
      <c r="K2430" s="1465">
        <v>44487</v>
      </c>
      <c r="L2430" s="1466" t="s">
        <v>2125</v>
      </c>
      <c r="M2430" s="1467">
        <v>2.3687E-2</v>
      </c>
      <c r="N2430" s="1468">
        <v>1.6619166380823513</v>
      </c>
      <c r="O2430" s="1468"/>
    </row>
    <row r="2431" spans="11:15">
      <c r="K2431" s="1465">
        <v>44488</v>
      </c>
      <c r="L2431" s="1466" t="s">
        <v>2125</v>
      </c>
      <c r="M2431" s="1467">
        <v>2.3687E-2</v>
      </c>
      <c r="N2431" s="1468">
        <v>1.6623102962764138</v>
      </c>
      <c r="O2431" s="1468"/>
    </row>
    <row r="2432" spans="11:15">
      <c r="K2432" s="1465">
        <v>44489</v>
      </c>
      <c r="L2432" s="1466" t="s">
        <v>2125</v>
      </c>
      <c r="M2432" s="1467">
        <v>2.3687E-2</v>
      </c>
      <c r="N2432" s="1468">
        <v>1.6627040477162927</v>
      </c>
      <c r="O2432" s="1468"/>
    </row>
    <row r="2433" spans="11:15">
      <c r="K2433" s="1465">
        <v>44490</v>
      </c>
      <c r="L2433" s="1466" t="s">
        <v>2125</v>
      </c>
      <c r="M2433" s="1467">
        <v>2.3687E-2</v>
      </c>
      <c r="N2433" s="1468">
        <v>1.6630978924240751</v>
      </c>
      <c r="O2433" s="1468"/>
    </row>
    <row r="2434" spans="11:15">
      <c r="K2434" s="1465">
        <v>44491</v>
      </c>
      <c r="L2434" s="1466" t="s">
        <v>2125</v>
      </c>
      <c r="M2434" s="1467">
        <v>2.3687E-2</v>
      </c>
      <c r="N2434" s="1468">
        <v>1.6634918304218536</v>
      </c>
      <c r="O2434" s="1468"/>
    </row>
    <row r="2435" spans="11:15">
      <c r="K2435" s="1465">
        <v>44492</v>
      </c>
      <c r="L2435" s="1466"/>
      <c r="M2435" s="1467">
        <v>0</v>
      </c>
      <c r="N2435" s="1468">
        <v>1.6634918304218536</v>
      </c>
      <c r="O2435" s="1468"/>
    </row>
    <row r="2436" spans="11:15">
      <c r="K2436" s="1465">
        <v>44493</v>
      </c>
      <c r="L2436" s="1466"/>
      <c r="M2436" s="1467">
        <v>0</v>
      </c>
      <c r="N2436" s="1468">
        <v>1.6634918304218536</v>
      </c>
      <c r="O2436" s="1468"/>
    </row>
    <row r="2437" spans="11:15">
      <c r="K2437" s="1465">
        <v>44494</v>
      </c>
      <c r="L2437" s="1466" t="s">
        <v>2125</v>
      </c>
      <c r="M2437" s="1467">
        <v>2.3687E-2</v>
      </c>
      <c r="N2437" s="1468">
        <v>1.6638858617317256</v>
      </c>
      <c r="O2437" s="1468"/>
    </row>
    <row r="2438" spans="11:15">
      <c r="K2438" s="1465">
        <v>44495</v>
      </c>
      <c r="L2438" s="1466" t="s">
        <v>2125</v>
      </c>
      <c r="M2438" s="1467">
        <v>2.3687E-2</v>
      </c>
      <c r="N2438" s="1468">
        <v>1.664279986375794</v>
      </c>
      <c r="O2438" s="1468"/>
    </row>
    <row r="2439" spans="11:15">
      <c r="K2439" s="1465">
        <v>44496</v>
      </c>
      <c r="L2439" s="1466" t="s">
        <v>2125</v>
      </c>
      <c r="M2439" s="1467">
        <v>2.3687E-2</v>
      </c>
      <c r="N2439" s="1468">
        <v>1.6646742043761666</v>
      </c>
      <c r="O2439" s="1468"/>
    </row>
    <row r="2440" spans="11:15">
      <c r="K2440" s="1465">
        <v>44497</v>
      </c>
      <c r="L2440" s="1466" t="s">
        <v>2125</v>
      </c>
      <c r="M2440" s="1467">
        <v>2.9256000000000001E-2</v>
      </c>
      <c r="N2440" s="1468">
        <v>1.6651612214613991</v>
      </c>
      <c r="O2440" s="1468"/>
    </row>
    <row r="2441" spans="11:15">
      <c r="K2441" s="1465">
        <v>44498</v>
      </c>
      <c r="L2441" s="1466" t="s">
        <v>2125</v>
      </c>
      <c r="M2441" s="1467">
        <v>2.9256000000000001E-2</v>
      </c>
      <c r="N2441" s="1468">
        <v>1.66564838102835</v>
      </c>
      <c r="O2441" s="1468"/>
    </row>
    <row r="2442" spans="11:15">
      <c r="K2442" s="1465">
        <v>44499</v>
      </c>
      <c r="L2442" s="1466"/>
      <c r="M2442" s="1467">
        <v>0</v>
      </c>
      <c r="N2442" s="1468">
        <v>1.66564838102835</v>
      </c>
      <c r="O2442" s="1468"/>
    </row>
    <row r="2443" spans="11:15">
      <c r="K2443" s="1465">
        <v>44500</v>
      </c>
      <c r="L2443" s="1466"/>
      <c r="M2443" s="1467">
        <v>0</v>
      </c>
      <c r="N2443" s="1468">
        <v>1.66564838102835</v>
      </c>
      <c r="O2443" s="1468"/>
    </row>
    <row r="2444" spans="11:15">
      <c r="K2444" s="1465">
        <v>44501</v>
      </c>
      <c r="L2444" s="1466" t="s">
        <v>2125</v>
      </c>
      <c r="M2444" s="1467">
        <v>2.9256000000000001E-2</v>
      </c>
      <c r="N2444" s="1468">
        <v>1.6661356831187037</v>
      </c>
      <c r="O2444" s="1468"/>
    </row>
    <row r="2445" spans="11:15">
      <c r="K2445" s="1465">
        <v>44502</v>
      </c>
      <c r="L2445" s="1466"/>
      <c r="M2445" s="1467">
        <v>0</v>
      </c>
      <c r="N2445" s="1468">
        <v>1.6661356831187037</v>
      </c>
      <c r="O2445" s="1468"/>
    </row>
    <row r="2446" spans="11:15">
      <c r="K2446" s="1465">
        <v>44503</v>
      </c>
      <c r="L2446" s="1466" t="s">
        <v>2125</v>
      </c>
      <c r="M2446" s="1467">
        <v>2.9256000000000001E-2</v>
      </c>
      <c r="N2446" s="1468">
        <v>1.6666231277741572</v>
      </c>
      <c r="O2446" s="1468"/>
    </row>
    <row r="2447" spans="11:15">
      <c r="K2447" s="1465">
        <v>44504</v>
      </c>
      <c r="L2447" s="1466" t="s">
        <v>2125</v>
      </c>
      <c r="M2447" s="1467">
        <v>2.9256000000000001E-2</v>
      </c>
      <c r="N2447" s="1468">
        <v>1.6671107150364191</v>
      </c>
      <c r="O2447" s="1468"/>
    </row>
    <row r="2448" spans="11:15">
      <c r="K2448" s="1465">
        <v>44505</v>
      </c>
      <c r="L2448" s="1466" t="s">
        <v>2125</v>
      </c>
      <c r="M2448" s="1467">
        <v>2.9256000000000001E-2</v>
      </c>
      <c r="N2448" s="1468">
        <v>1.6675984449472103</v>
      </c>
      <c r="O2448" s="1468"/>
    </row>
    <row r="2449" spans="11:15">
      <c r="K2449" s="1465">
        <v>44506</v>
      </c>
      <c r="L2449" s="1466"/>
      <c r="M2449" s="1467">
        <v>0</v>
      </c>
      <c r="N2449" s="1468">
        <v>1.6675984449472103</v>
      </c>
      <c r="O2449" s="1468"/>
    </row>
    <row r="2450" spans="11:15">
      <c r="K2450" s="1465">
        <v>44507</v>
      </c>
      <c r="L2450" s="1466"/>
      <c r="M2450" s="1467">
        <v>0</v>
      </c>
      <c r="N2450" s="1468">
        <v>1.6675984449472103</v>
      </c>
      <c r="O2450" s="1468"/>
    </row>
    <row r="2451" spans="11:15">
      <c r="K2451" s="1465">
        <v>44508</v>
      </c>
      <c r="L2451" s="1466" t="s">
        <v>2125</v>
      </c>
      <c r="M2451" s="1467">
        <v>2.9256000000000001E-2</v>
      </c>
      <c r="N2451" s="1468">
        <v>1.6680863175482643</v>
      </c>
      <c r="O2451" s="1468"/>
    </row>
    <row r="2452" spans="11:15">
      <c r="K2452" s="1465">
        <v>44509</v>
      </c>
      <c r="L2452" s="1466" t="s">
        <v>2125</v>
      </c>
      <c r="M2452" s="1467">
        <v>2.9256000000000001E-2</v>
      </c>
      <c r="N2452" s="1468">
        <v>1.6685743328813265</v>
      </c>
      <c r="O2452" s="1468"/>
    </row>
    <row r="2453" spans="11:15">
      <c r="K2453" s="1465">
        <v>44510</v>
      </c>
      <c r="L2453" s="1466" t="s">
        <v>2125</v>
      </c>
      <c r="M2453" s="1467">
        <v>2.9256000000000001E-2</v>
      </c>
      <c r="N2453" s="1468">
        <v>1.6690624909881544</v>
      </c>
      <c r="O2453" s="1468"/>
    </row>
    <row r="2454" spans="11:15">
      <c r="K2454" s="1465">
        <v>44511</v>
      </c>
      <c r="L2454" s="1466" t="s">
        <v>2125</v>
      </c>
      <c r="M2454" s="1467">
        <v>2.9256000000000001E-2</v>
      </c>
      <c r="N2454" s="1468">
        <v>1.6695507919105181</v>
      </c>
      <c r="O2454" s="1468"/>
    </row>
    <row r="2455" spans="11:15">
      <c r="K2455" s="1465">
        <v>44512</v>
      </c>
      <c r="L2455" s="1466" t="s">
        <v>2125</v>
      </c>
      <c r="M2455" s="1467">
        <v>2.9256000000000001E-2</v>
      </c>
      <c r="N2455" s="1468">
        <v>1.6700392356901996</v>
      </c>
      <c r="O2455" s="1468"/>
    </row>
    <row r="2456" spans="11:15">
      <c r="K2456" s="1465">
        <v>44513</v>
      </c>
      <c r="L2456" s="1466"/>
      <c r="M2456" s="1467">
        <v>0</v>
      </c>
      <c r="N2456" s="1468">
        <v>1.6700392356901996</v>
      </c>
      <c r="O2456" s="1468"/>
    </row>
    <row r="2457" spans="11:15">
      <c r="K2457" s="1465">
        <v>44514</v>
      </c>
      <c r="L2457" s="1466"/>
      <c r="M2457" s="1467">
        <v>0</v>
      </c>
      <c r="N2457" s="1468">
        <v>1.6700392356901996</v>
      </c>
      <c r="O2457" s="1468"/>
    </row>
    <row r="2458" spans="11:15">
      <c r="K2458" s="1465">
        <v>44515</v>
      </c>
      <c r="L2458" s="1466"/>
      <c r="M2458" s="1467">
        <v>0</v>
      </c>
      <c r="N2458" s="1468">
        <v>1.6700392356901996</v>
      </c>
      <c r="O2458" s="1468"/>
    </row>
    <row r="2459" spans="11:15">
      <c r="K2459" s="1465">
        <v>44516</v>
      </c>
      <c r="L2459" s="1466" t="s">
        <v>2125</v>
      </c>
      <c r="M2459" s="1467">
        <v>2.9256000000000001E-2</v>
      </c>
      <c r="N2459" s="1468">
        <v>1.6705278223689934</v>
      </c>
      <c r="O2459" s="1468"/>
    </row>
    <row r="2460" spans="11:15">
      <c r="K2460" s="1465">
        <v>44517</v>
      </c>
      <c r="L2460" s="1466" t="s">
        <v>2125</v>
      </c>
      <c r="M2460" s="1467">
        <v>2.9256000000000001E-2</v>
      </c>
      <c r="N2460" s="1468">
        <v>1.6710165519887059</v>
      </c>
      <c r="O2460" s="1468"/>
    </row>
    <row r="2461" spans="11:15">
      <c r="K2461" s="1465">
        <v>44518</v>
      </c>
      <c r="L2461" s="1466" t="s">
        <v>2125</v>
      </c>
      <c r="M2461" s="1467">
        <v>2.9256000000000001E-2</v>
      </c>
      <c r="N2461" s="1468">
        <v>1.6715054245911558</v>
      </c>
      <c r="O2461" s="1468"/>
    </row>
    <row r="2462" spans="11:15">
      <c r="K2462" s="1465">
        <v>44519</v>
      </c>
      <c r="L2462" s="1466" t="s">
        <v>2125</v>
      </c>
      <c r="M2462" s="1467">
        <v>2.9256000000000001E-2</v>
      </c>
      <c r="N2462" s="1468">
        <v>1.6719944402181743</v>
      </c>
      <c r="O2462" s="1468"/>
    </row>
    <row r="2463" spans="11:15">
      <c r="K2463" s="1465">
        <v>44520</v>
      </c>
      <c r="L2463" s="1466"/>
      <c r="M2463" s="1467">
        <v>0</v>
      </c>
      <c r="N2463" s="1468">
        <v>1.6719944402181743</v>
      </c>
      <c r="O2463" s="1468"/>
    </row>
    <row r="2464" spans="11:15">
      <c r="K2464" s="1465">
        <v>44521</v>
      </c>
      <c r="L2464" s="1466"/>
      <c r="M2464" s="1467">
        <v>0</v>
      </c>
      <c r="N2464" s="1468">
        <v>1.6719944402181743</v>
      </c>
      <c r="O2464" s="1468"/>
    </row>
    <row r="2465" spans="11:15">
      <c r="K2465" s="1465">
        <v>44522</v>
      </c>
      <c r="L2465" s="1466" t="s">
        <v>2125</v>
      </c>
      <c r="M2465" s="1467">
        <v>2.9256000000000001E-2</v>
      </c>
      <c r="N2465" s="1468">
        <v>1.6724835989116047</v>
      </c>
      <c r="O2465" s="1468"/>
    </row>
    <row r="2466" spans="11:15">
      <c r="K2466" s="1465">
        <v>44523</v>
      </c>
      <c r="L2466" s="1466" t="s">
        <v>2125</v>
      </c>
      <c r="M2466" s="1467">
        <v>2.9256000000000001E-2</v>
      </c>
      <c r="N2466" s="1468">
        <v>1.6729729007133025</v>
      </c>
      <c r="O2466" s="1468"/>
    </row>
    <row r="2467" spans="11:15">
      <c r="K2467" s="1465">
        <v>44524</v>
      </c>
      <c r="L2467" s="1466" t="s">
        <v>2125</v>
      </c>
      <c r="M2467" s="1467">
        <v>2.9256000000000001E-2</v>
      </c>
      <c r="N2467" s="1468">
        <v>1.6734623456651354</v>
      </c>
      <c r="O2467" s="1468"/>
    </row>
    <row r="2468" spans="11:15">
      <c r="K2468" s="1465">
        <v>44525</v>
      </c>
      <c r="L2468" s="1466" t="s">
        <v>2125</v>
      </c>
      <c r="M2468" s="1467">
        <v>2.9256000000000001E-2</v>
      </c>
      <c r="N2468" s="1468">
        <v>1.6739519338089834</v>
      </c>
      <c r="O2468" s="1468"/>
    </row>
    <row r="2469" spans="11:15">
      <c r="K2469" s="1465">
        <v>44526</v>
      </c>
      <c r="L2469" s="1466" t="s">
        <v>2125</v>
      </c>
      <c r="M2469" s="1467">
        <v>2.9256000000000001E-2</v>
      </c>
      <c r="N2469" s="1468">
        <v>1.6744416651867389</v>
      </c>
      <c r="O2469" s="1468"/>
    </row>
    <row r="2470" spans="11:15">
      <c r="K2470" s="1465">
        <v>44527</v>
      </c>
      <c r="L2470" s="1466"/>
      <c r="M2470" s="1467">
        <v>0</v>
      </c>
      <c r="N2470" s="1468">
        <v>1.6744416651867389</v>
      </c>
      <c r="O2470" s="1468"/>
    </row>
    <row r="2471" spans="11:15">
      <c r="K2471" s="1465">
        <v>44528</v>
      </c>
      <c r="L2471" s="1466"/>
      <c r="M2471" s="1467">
        <v>0</v>
      </c>
      <c r="N2471" s="1468">
        <v>1.6744416651867389</v>
      </c>
      <c r="O2471" s="1468"/>
    </row>
    <row r="2472" spans="11:15">
      <c r="K2472" s="1465">
        <v>44529</v>
      </c>
      <c r="L2472" s="1466" t="s">
        <v>2125</v>
      </c>
      <c r="M2472" s="1467">
        <v>2.9256000000000001E-2</v>
      </c>
      <c r="N2472" s="1468">
        <v>1.6749315398403062</v>
      </c>
      <c r="O2472" s="1468"/>
    </row>
    <row r="2473" spans="11:15">
      <c r="K2473" s="1465">
        <v>44530</v>
      </c>
      <c r="L2473" s="1466" t="s">
        <v>2125</v>
      </c>
      <c r="M2473" s="1467">
        <v>2.9256000000000001E-2</v>
      </c>
      <c r="N2473" s="1468">
        <v>1.6754215578116021</v>
      </c>
      <c r="O2473" s="1468"/>
    </row>
    <row r="2474" spans="11:15">
      <c r="K2474" s="1465">
        <v>44531</v>
      </c>
      <c r="L2474" s="1466" t="s">
        <v>2125</v>
      </c>
      <c r="M2474" s="1467">
        <v>2.9256000000000001E-2</v>
      </c>
      <c r="N2474" s="1468">
        <v>1.6759117191425557</v>
      </c>
      <c r="O2474" s="1468"/>
    </row>
    <row r="2475" spans="11:15">
      <c r="K2475" s="1465">
        <v>44532</v>
      </c>
      <c r="L2475" s="1466" t="s">
        <v>2125</v>
      </c>
      <c r="M2475" s="1467">
        <v>2.9256000000000001E-2</v>
      </c>
      <c r="N2475" s="1468">
        <v>1.6764020238751083</v>
      </c>
      <c r="O2475" s="1468"/>
    </row>
    <row r="2476" spans="11:15">
      <c r="K2476" s="1465">
        <v>44533</v>
      </c>
      <c r="L2476" s="1466" t="s">
        <v>2125</v>
      </c>
      <c r="M2476" s="1467">
        <v>2.9256000000000001E-2</v>
      </c>
      <c r="N2476" s="1468">
        <v>1.6768924720512133</v>
      </c>
      <c r="O2476" s="1468"/>
    </row>
    <row r="2477" spans="11:15">
      <c r="K2477" s="1465">
        <v>44534</v>
      </c>
      <c r="L2477" s="1466"/>
      <c r="M2477" s="1467">
        <v>0</v>
      </c>
      <c r="N2477" s="1468">
        <v>1.6768924720512133</v>
      </c>
      <c r="O2477" s="1468"/>
    </row>
    <row r="2478" spans="11:15">
      <c r="K2478" s="1465">
        <v>44535</v>
      </c>
      <c r="L2478" s="1466"/>
      <c r="M2478" s="1467">
        <v>0</v>
      </c>
      <c r="N2478" s="1468">
        <v>1.6768924720512133</v>
      </c>
      <c r="O2478" s="1468"/>
    </row>
    <row r="2479" spans="11:15">
      <c r="K2479" s="1465">
        <v>44536</v>
      </c>
      <c r="L2479" s="1466" t="s">
        <v>2125</v>
      </c>
      <c r="M2479" s="1467">
        <v>2.9256000000000001E-2</v>
      </c>
      <c r="N2479" s="1468">
        <v>1.6773830637128369</v>
      </c>
      <c r="O2479" s="1468"/>
    </row>
    <row r="2480" spans="11:15">
      <c r="K2480" s="1465">
        <v>44537</v>
      </c>
      <c r="L2480" s="1466" t="s">
        <v>2125</v>
      </c>
      <c r="M2480" s="1467">
        <v>2.9256000000000001E-2</v>
      </c>
      <c r="N2480" s="1468">
        <v>1.6778737989019568</v>
      </c>
      <c r="O2480" s="1468"/>
    </row>
    <row r="2481" spans="11:15">
      <c r="K2481" s="1465">
        <v>44538</v>
      </c>
      <c r="L2481" s="1466" t="s">
        <v>2125</v>
      </c>
      <c r="M2481" s="1467">
        <v>2.9256000000000001E-2</v>
      </c>
      <c r="N2481" s="1468">
        <v>1.6783646776605636</v>
      </c>
      <c r="O2481" s="1468"/>
    </row>
    <row r="2482" spans="11:15">
      <c r="K2482" s="1465">
        <v>44539</v>
      </c>
      <c r="L2482" s="1466" t="s">
        <v>2125</v>
      </c>
      <c r="M2482" s="1467">
        <v>3.4749000000000002E-2</v>
      </c>
      <c r="N2482" s="1468">
        <v>1.678947892602404</v>
      </c>
      <c r="O2482" s="1468"/>
    </row>
    <row r="2483" spans="11:15">
      <c r="K2483" s="1465">
        <v>44540</v>
      </c>
      <c r="L2483" s="1466" t="s">
        <v>2125</v>
      </c>
      <c r="M2483" s="1467">
        <v>3.4749000000000002E-2</v>
      </c>
      <c r="N2483" s="1468">
        <v>1.6795313102056044</v>
      </c>
      <c r="O2483" s="1468"/>
    </row>
    <row r="2484" spans="11:15">
      <c r="K2484" s="1465">
        <v>44541</v>
      </c>
      <c r="L2484" s="1466"/>
      <c r="M2484" s="1467">
        <v>0</v>
      </c>
      <c r="N2484" s="1468">
        <v>1.6795313102056044</v>
      </c>
      <c r="O2484" s="1468"/>
    </row>
    <row r="2485" spans="11:15">
      <c r="K2485" s="1465">
        <v>44542</v>
      </c>
      <c r="L2485" s="1466"/>
      <c r="M2485" s="1467">
        <v>0</v>
      </c>
      <c r="N2485" s="1468">
        <v>1.6795313102056044</v>
      </c>
      <c r="O2485" s="1468"/>
    </row>
    <row r="2486" spans="11:15">
      <c r="K2486" s="1465">
        <v>44543</v>
      </c>
      <c r="L2486" s="1466" t="s">
        <v>2125</v>
      </c>
      <c r="M2486" s="1467">
        <v>3.4749000000000002E-2</v>
      </c>
      <c r="N2486" s="1468">
        <v>1.6801149305405878</v>
      </c>
      <c r="O2486" s="1468"/>
    </row>
    <row r="2487" spans="11:15">
      <c r="K2487" s="1465">
        <v>44544</v>
      </c>
      <c r="L2487" s="1466" t="s">
        <v>2125</v>
      </c>
      <c r="M2487" s="1467">
        <v>3.4749000000000002E-2</v>
      </c>
      <c r="N2487" s="1468">
        <v>1.6806987536778013</v>
      </c>
      <c r="O2487" s="1468"/>
    </row>
    <row r="2488" spans="11:15">
      <c r="K2488" s="1465">
        <v>44545</v>
      </c>
      <c r="L2488" s="1466" t="s">
        <v>2125</v>
      </c>
      <c r="M2488" s="1467">
        <v>3.4749000000000002E-2</v>
      </c>
      <c r="N2488" s="1468">
        <v>1.6812827796877168</v>
      </c>
      <c r="O2488" s="1468"/>
    </row>
    <row r="2489" spans="11:15">
      <c r="K2489" s="1465">
        <v>44546</v>
      </c>
      <c r="L2489" s="1466" t="s">
        <v>2125</v>
      </c>
      <c r="M2489" s="1467">
        <v>3.4749000000000002E-2</v>
      </c>
      <c r="N2489" s="1468">
        <v>1.6818670086408305</v>
      </c>
      <c r="O2489" s="1468"/>
    </row>
    <row r="2490" spans="11:15">
      <c r="K2490" s="1465">
        <v>44547</v>
      </c>
      <c r="L2490" s="1466" t="s">
        <v>2125</v>
      </c>
      <c r="M2490" s="1467">
        <v>3.4749000000000002E-2</v>
      </c>
      <c r="N2490" s="1468">
        <v>1.6824514406076632</v>
      </c>
      <c r="O2490" s="1468"/>
    </row>
    <row r="2491" spans="11:15">
      <c r="K2491" s="1465">
        <v>44548</v>
      </c>
      <c r="L2491" s="1466"/>
      <c r="M2491" s="1467">
        <v>0</v>
      </c>
      <c r="N2491" s="1468">
        <v>1.6824514406076632</v>
      </c>
      <c r="O2491" s="1468"/>
    </row>
    <row r="2492" spans="11:15">
      <c r="K2492" s="1465">
        <v>44549</v>
      </c>
      <c r="L2492" s="1466"/>
      <c r="M2492" s="1467">
        <v>0</v>
      </c>
      <c r="N2492" s="1468">
        <v>1.6824514406076632</v>
      </c>
      <c r="O2492" s="1468"/>
    </row>
    <row r="2493" spans="11:15">
      <c r="K2493" s="1465">
        <v>44550</v>
      </c>
      <c r="L2493" s="1466" t="s">
        <v>2125</v>
      </c>
      <c r="M2493" s="1467">
        <v>3.4749000000000002E-2</v>
      </c>
      <c r="N2493" s="1468">
        <v>1.6830360756587599</v>
      </c>
      <c r="O2493" s="1468"/>
    </row>
    <row r="2494" spans="11:15">
      <c r="K2494" s="1465">
        <v>44551</v>
      </c>
      <c r="L2494" s="1466" t="s">
        <v>2125</v>
      </c>
      <c r="M2494" s="1467">
        <v>3.4749000000000002E-2</v>
      </c>
      <c r="N2494" s="1468">
        <v>1.6836209138646905</v>
      </c>
      <c r="O2494" s="1468"/>
    </row>
    <row r="2495" spans="11:15">
      <c r="K2495" s="1465">
        <v>44552</v>
      </c>
      <c r="L2495" s="1466" t="s">
        <v>2125</v>
      </c>
      <c r="M2495" s="1467">
        <v>3.4749000000000002E-2</v>
      </c>
      <c r="N2495" s="1468">
        <v>1.6842059552960493</v>
      </c>
      <c r="O2495" s="1468"/>
    </row>
    <row r="2496" spans="11:15">
      <c r="K2496" s="1465">
        <v>44553</v>
      </c>
      <c r="L2496" s="1466" t="s">
        <v>2125</v>
      </c>
      <c r="M2496" s="1467">
        <v>3.4749000000000002E-2</v>
      </c>
      <c r="N2496" s="1468">
        <v>1.6847912000234551</v>
      </c>
      <c r="O2496" s="1468"/>
    </row>
    <row r="2497" spans="11:15">
      <c r="K2497" s="1465">
        <v>44554</v>
      </c>
      <c r="L2497" s="1466" t="s">
        <v>2125</v>
      </c>
      <c r="M2497" s="1467">
        <v>3.4749000000000002E-2</v>
      </c>
      <c r="N2497" s="1468">
        <v>1.6853766481175512</v>
      </c>
      <c r="O2497" s="1468"/>
    </row>
    <row r="2498" spans="11:15">
      <c r="K2498" s="1465">
        <v>44555</v>
      </c>
      <c r="L2498" s="1466"/>
      <c r="M2498" s="1467">
        <v>0</v>
      </c>
      <c r="N2498" s="1468">
        <v>1.6853766481175512</v>
      </c>
      <c r="O2498" s="1468"/>
    </row>
    <row r="2499" spans="11:15">
      <c r="K2499" s="1465">
        <v>44556</v>
      </c>
      <c r="L2499" s="1466"/>
      <c r="M2499" s="1467">
        <v>0</v>
      </c>
      <c r="N2499" s="1468">
        <v>1.6853766481175512</v>
      </c>
      <c r="O2499" s="1468"/>
    </row>
    <row r="2500" spans="11:15">
      <c r="K2500" s="1465">
        <v>44557</v>
      </c>
      <c r="L2500" s="1466" t="s">
        <v>2125</v>
      </c>
      <c r="M2500" s="1467">
        <v>3.4749000000000002E-2</v>
      </c>
      <c r="N2500" s="1468">
        <v>1.6859622996490056</v>
      </c>
      <c r="O2500" s="1468"/>
    </row>
    <row r="2501" spans="11:15">
      <c r="K2501" s="1465">
        <v>44558</v>
      </c>
      <c r="L2501" s="1466" t="s">
        <v>2125</v>
      </c>
      <c r="M2501" s="1467">
        <v>3.4749000000000002E-2</v>
      </c>
      <c r="N2501" s="1468">
        <v>1.6865481546885106</v>
      </c>
      <c r="O2501" s="1468"/>
    </row>
    <row r="2502" spans="11:15">
      <c r="K2502" s="1465">
        <v>44559</v>
      </c>
      <c r="L2502" s="1466" t="s">
        <v>2125</v>
      </c>
      <c r="M2502" s="1467">
        <v>3.4749000000000002E-2</v>
      </c>
      <c r="N2502" s="1468">
        <v>1.6871342133067833</v>
      </c>
      <c r="O2502" s="1468"/>
    </row>
    <row r="2503" spans="11:15">
      <c r="K2503" s="1465">
        <v>44560</v>
      </c>
      <c r="L2503" s="1466" t="s">
        <v>2125</v>
      </c>
      <c r="M2503" s="1467">
        <v>3.4749000000000002E-2</v>
      </c>
      <c r="N2503" s="1468">
        <v>1.6877204755745652</v>
      </c>
      <c r="O2503" s="1468"/>
    </row>
    <row r="2504" spans="11:15">
      <c r="K2504" s="1465">
        <v>44561</v>
      </c>
      <c r="L2504" s="1466" t="s">
        <v>2125</v>
      </c>
      <c r="M2504" s="1467">
        <v>3.4749000000000002E-2</v>
      </c>
      <c r="N2504" s="1468">
        <v>1.6883069415626226</v>
      </c>
      <c r="O2504" s="1468"/>
    </row>
    <row r="2505" spans="11:15">
      <c r="K2505" s="1465">
        <v>44562</v>
      </c>
      <c r="L2505" s="1466"/>
      <c r="M2505" s="1467">
        <v>0</v>
      </c>
      <c r="N2505" s="1468">
        <v>1.6883069415626226</v>
      </c>
      <c r="O2505" s="1468"/>
    </row>
    <row r="2506" spans="11:15">
      <c r="K2506" s="1465">
        <v>44563</v>
      </c>
      <c r="L2506" s="1466"/>
      <c r="M2506" s="1467">
        <v>0</v>
      </c>
      <c r="N2506" s="1468">
        <v>1.6883069415626226</v>
      </c>
      <c r="O2506" s="1468"/>
    </row>
    <row r="2507" spans="11:15">
      <c r="K2507" s="1465">
        <v>44564</v>
      </c>
      <c r="L2507" s="1466" t="s">
        <v>2125</v>
      </c>
      <c r="M2507" s="1467">
        <v>3.4749000000000002E-2</v>
      </c>
      <c r="N2507" s="1468">
        <v>1.6888936113417463</v>
      </c>
      <c r="O2507" s="1468"/>
    </row>
    <row r="2508" spans="11:15">
      <c r="K2508" s="1465">
        <v>44565</v>
      </c>
      <c r="L2508" s="1466" t="s">
        <v>2125</v>
      </c>
      <c r="M2508" s="1467">
        <v>3.4749000000000002E-2</v>
      </c>
      <c r="N2508" s="1468">
        <v>1.6894804849827514</v>
      </c>
      <c r="O2508" s="1468"/>
    </row>
    <row r="2509" spans="11:15">
      <c r="K2509" s="1465">
        <v>44566</v>
      </c>
      <c r="L2509" s="1466" t="s">
        <v>2125</v>
      </c>
      <c r="M2509" s="1467">
        <v>3.4749000000000002E-2</v>
      </c>
      <c r="N2509" s="1468">
        <v>1.6900675625564781</v>
      </c>
      <c r="O2509" s="1468"/>
    </row>
    <row r="2510" spans="11:15">
      <c r="K2510" s="1465">
        <v>44567</v>
      </c>
      <c r="L2510" s="1466" t="s">
        <v>2125</v>
      </c>
      <c r="M2510" s="1467">
        <v>3.4749000000000002E-2</v>
      </c>
      <c r="N2510" s="1468">
        <v>1.6906548441337907</v>
      </c>
      <c r="O2510" s="1468"/>
    </row>
    <row r="2511" spans="11:15">
      <c r="K2511" s="1465">
        <v>44568</v>
      </c>
      <c r="L2511" s="1466" t="s">
        <v>2125</v>
      </c>
      <c r="M2511" s="1467">
        <v>3.4749000000000002E-2</v>
      </c>
      <c r="N2511" s="1468">
        <v>1.6912423297855788</v>
      </c>
      <c r="O2511" s="1468"/>
    </row>
    <row r="2512" spans="11:15">
      <c r="K2512" s="1465">
        <v>44569</v>
      </c>
      <c r="L2512" s="1466"/>
      <c r="M2512" s="1467">
        <v>0</v>
      </c>
      <c r="N2512" s="1468">
        <v>1.6912423297855788</v>
      </c>
      <c r="O2512" s="1468"/>
    </row>
    <row r="2513" spans="11:15">
      <c r="K2513" s="1465">
        <v>44570</v>
      </c>
      <c r="L2513" s="1466"/>
      <c r="M2513" s="1467">
        <v>0</v>
      </c>
      <c r="N2513" s="1468">
        <v>1.6912423297855788</v>
      </c>
      <c r="O2513" s="1468"/>
    </row>
    <row r="2514" spans="11:15">
      <c r="K2514" s="1465">
        <v>44571</v>
      </c>
      <c r="L2514" s="1466" t="s">
        <v>2125</v>
      </c>
      <c r="M2514" s="1467">
        <v>3.4749000000000002E-2</v>
      </c>
      <c r="N2514" s="1468">
        <v>1.691830019582756</v>
      </c>
      <c r="O2514" s="1468"/>
    </row>
    <row r="2515" spans="11:15">
      <c r="K2515" s="1465">
        <v>44572</v>
      </c>
      <c r="L2515" s="1466" t="s">
        <v>2125</v>
      </c>
      <c r="M2515" s="1467">
        <v>3.4749000000000002E-2</v>
      </c>
      <c r="N2515" s="1468">
        <v>1.6924179135962609</v>
      </c>
      <c r="O2515" s="1468"/>
    </row>
    <row r="2516" spans="11:15">
      <c r="K2516" s="1465">
        <v>44573</v>
      </c>
      <c r="L2516" s="1466" t="s">
        <v>2125</v>
      </c>
      <c r="M2516" s="1467">
        <v>3.4749000000000002E-2</v>
      </c>
      <c r="N2516" s="1468">
        <v>1.6930060118970565</v>
      </c>
      <c r="O2516" s="1468"/>
    </row>
    <row r="2517" spans="11:15">
      <c r="K2517" s="1465">
        <v>44574</v>
      </c>
      <c r="L2517" s="1466" t="s">
        <v>2125</v>
      </c>
      <c r="M2517" s="1467">
        <v>3.4749000000000002E-2</v>
      </c>
      <c r="N2517" s="1468">
        <v>1.6935943145561305</v>
      </c>
      <c r="O2517" s="1468"/>
    </row>
    <row r="2518" spans="11:15">
      <c r="K2518" s="1465">
        <v>44575</v>
      </c>
      <c r="L2518" s="1466" t="s">
        <v>2125</v>
      </c>
      <c r="M2518" s="1467">
        <v>3.4749000000000002E-2</v>
      </c>
      <c r="N2518" s="1468">
        <v>1.6941828216444956</v>
      </c>
      <c r="O2518" s="1468"/>
    </row>
    <row r="2519" spans="11:15">
      <c r="K2519" s="1465">
        <v>44576</v>
      </c>
      <c r="L2519" s="1466"/>
      <c r="M2519" s="1467">
        <v>0</v>
      </c>
      <c r="N2519" s="1468">
        <v>1.6941828216444956</v>
      </c>
      <c r="O2519" s="1468"/>
    </row>
    <row r="2520" spans="11:15">
      <c r="K2520" s="1465">
        <v>44577</v>
      </c>
      <c r="L2520" s="1466"/>
      <c r="M2520" s="1467">
        <v>0</v>
      </c>
      <c r="N2520" s="1468">
        <v>1.6941828216444956</v>
      </c>
      <c r="O2520" s="1468"/>
    </row>
    <row r="2521" spans="11:15">
      <c r="K2521" s="1465">
        <v>44578</v>
      </c>
      <c r="L2521" s="1466" t="s">
        <v>2125</v>
      </c>
      <c r="M2521" s="1467">
        <v>3.4749000000000002E-2</v>
      </c>
      <c r="N2521" s="1468">
        <v>1.694771533233189</v>
      </c>
      <c r="O2521" s="1468"/>
    </row>
    <row r="2522" spans="11:15">
      <c r="K2522" s="1465">
        <v>44579</v>
      </c>
      <c r="L2522" s="1466" t="s">
        <v>2125</v>
      </c>
      <c r="M2522" s="1467">
        <v>3.4749000000000002E-2</v>
      </c>
      <c r="N2522" s="1468">
        <v>1.6953604493932721</v>
      </c>
      <c r="O2522" s="1468"/>
    </row>
    <row r="2523" spans="11:15">
      <c r="K2523" s="1465">
        <v>44580</v>
      </c>
      <c r="L2523" s="1466" t="s">
        <v>2125</v>
      </c>
      <c r="M2523" s="1467">
        <v>3.4749000000000002E-2</v>
      </c>
      <c r="N2523" s="1468">
        <v>1.6959495701958318</v>
      </c>
      <c r="O2523" s="1468"/>
    </row>
    <row r="2524" spans="11:15">
      <c r="K2524" s="1465">
        <v>44581</v>
      </c>
      <c r="L2524" s="1466" t="s">
        <v>2125</v>
      </c>
      <c r="M2524" s="1467">
        <v>3.4749000000000002E-2</v>
      </c>
      <c r="N2524" s="1468">
        <v>1.6965388957119791</v>
      </c>
      <c r="O2524" s="1468"/>
    </row>
    <row r="2525" spans="11:15">
      <c r="K2525" s="1465">
        <v>44582</v>
      </c>
      <c r="L2525" s="1466" t="s">
        <v>2125</v>
      </c>
      <c r="M2525" s="1467">
        <v>3.4749000000000002E-2</v>
      </c>
      <c r="N2525" s="1468">
        <v>1.6971284260128501</v>
      </c>
      <c r="O2525" s="1468"/>
    </row>
    <row r="2526" spans="11:15">
      <c r="K2526" s="1465">
        <v>44583</v>
      </c>
      <c r="L2526" s="1466"/>
      <c r="M2526" s="1467">
        <v>0</v>
      </c>
      <c r="N2526" s="1468">
        <v>1.6971284260128501</v>
      </c>
      <c r="O2526" s="1468"/>
    </row>
    <row r="2527" spans="11:15">
      <c r="K2527" s="1465">
        <v>44584</v>
      </c>
      <c r="L2527" s="1466"/>
      <c r="M2527" s="1467">
        <v>0</v>
      </c>
      <c r="N2527" s="1468">
        <v>1.6971284260128501</v>
      </c>
      <c r="O2527" s="1468"/>
    </row>
    <row r="2528" spans="11:15">
      <c r="K2528" s="1465">
        <v>44585</v>
      </c>
      <c r="L2528" s="1466" t="s">
        <v>2125</v>
      </c>
      <c r="M2528" s="1467">
        <v>3.4749000000000002E-2</v>
      </c>
      <c r="N2528" s="1468">
        <v>1.6977181611696053</v>
      </c>
      <c r="O2528" s="1468"/>
    </row>
    <row r="2529" spans="11:15">
      <c r="K2529" s="1465">
        <v>44586</v>
      </c>
      <c r="L2529" s="1466" t="s">
        <v>2125</v>
      </c>
      <c r="M2529" s="1467">
        <v>3.4749000000000002E-2</v>
      </c>
      <c r="N2529" s="1468">
        <v>1.69830810125343</v>
      </c>
      <c r="O2529" s="1468"/>
    </row>
    <row r="2530" spans="11:15">
      <c r="K2530" s="1465">
        <v>44587</v>
      </c>
      <c r="L2530" s="1466" t="s">
        <v>2125</v>
      </c>
      <c r="M2530" s="1467">
        <v>3.4749000000000002E-2</v>
      </c>
      <c r="N2530" s="1468">
        <v>1.6988982463355347</v>
      </c>
      <c r="O2530" s="1468"/>
    </row>
    <row r="2531" spans="11:15">
      <c r="K2531" s="1465">
        <v>44588</v>
      </c>
      <c r="L2531" s="1466" t="s">
        <v>2125</v>
      </c>
      <c r="M2531" s="1467">
        <v>3.4749000000000002E-2</v>
      </c>
      <c r="N2531" s="1468">
        <v>1.6994885964871538</v>
      </c>
      <c r="O2531" s="1468"/>
    </row>
    <row r="2532" spans="11:15">
      <c r="K2532" s="1465">
        <v>44589</v>
      </c>
      <c r="L2532" s="1466" t="s">
        <v>2125</v>
      </c>
      <c r="M2532" s="1467">
        <v>3.4749000000000002E-2</v>
      </c>
      <c r="N2532" s="1468">
        <v>1.700079151779547</v>
      </c>
      <c r="O2532" s="1468"/>
    </row>
    <row r="2533" spans="11:15">
      <c r="K2533" s="1465">
        <v>44590</v>
      </c>
      <c r="L2533" s="1466"/>
      <c r="M2533" s="1467">
        <v>0</v>
      </c>
      <c r="N2533" s="1468">
        <v>1.700079151779547</v>
      </c>
      <c r="O2533" s="1468"/>
    </row>
    <row r="2534" spans="11:15">
      <c r="K2534" s="1465">
        <v>44591</v>
      </c>
      <c r="L2534" s="1466"/>
      <c r="M2534" s="1467">
        <v>0</v>
      </c>
      <c r="N2534" s="1468">
        <v>1.700079151779547</v>
      </c>
      <c r="O2534" s="1468"/>
    </row>
    <row r="2535" spans="11:15">
      <c r="K2535" s="1465">
        <v>44592</v>
      </c>
      <c r="L2535" s="1466" t="s">
        <v>2125</v>
      </c>
      <c r="M2535" s="1467">
        <v>3.4749000000000002E-2</v>
      </c>
      <c r="N2535" s="1468">
        <v>1.700669912283999</v>
      </c>
      <c r="O2535" s="1468"/>
    </row>
    <row r="2536" spans="11:15">
      <c r="K2536" s="1465">
        <v>44593</v>
      </c>
      <c r="L2536" s="1466" t="s">
        <v>2125</v>
      </c>
      <c r="M2536" s="1467">
        <v>3.4749000000000002E-2</v>
      </c>
      <c r="N2536" s="1468">
        <v>1.7012608780718186</v>
      </c>
      <c r="O2536" s="1468"/>
    </row>
    <row r="2537" spans="11:15">
      <c r="K2537" s="1465">
        <v>44594</v>
      </c>
      <c r="L2537" s="1466" t="s">
        <v>2125</v>
      </c>
      <c r="M2537" s="1467">
        <v>3.4749000000000002E-2</v>
      </c>
      <c r="N2537" s="1468">
        <v>1.7018520492143399</v>
      </c>
      <c r="O2537" s="1468"/>
    </row>
    <row r="2538" spans="11:15">
      <c r="K2538" s="1465">
        <v>44595</v>
      </c>
      <c r="L2538" s="1466" t="s">
        <v>2125</v>
      </c>
      <c r="M2538" s="1467">
        <v>4.0168000000000002E-2</v>
      </c>
      <c r="N2538" s="1468">
        <v>1.7025356491454682</v>
      </c>
      <c r="O2538" s="1468"/>
    </row>
    <row r="2539" spans="11:15">
      <c r="K2539" s="1465">
        <v>44596</v>
      </c>
      <c r="L2539" s="1466" t="s">
        <v>2125</v>
      </c>
      <c r="M2539" s="1467">
        <v>4.0168000000000002E-2</v>
      </c>
      <c r="N2539" s="1468">
        <v>1.7032195236650169</v>
      </c>
      <c r="O2539" s="1468"/>
    </row>
    <row r="2540" spans="11:15">
      <c r="K2540" s="1465">
        <v>44597</v>
      </c>
      <c r="L2540" s="1466"/>
      <c r="M2540" s="1467">
        <v>0</v>
      </c>
      <c r="N2540" s="1468">
        <v>1.7032195236650169</v>
      </c>
      <c r="O2540" s="1468"/>
    </row>
    <row r="2541" spans="11:15">
      <c r="K2541" s="1465">
        <v>44598</v>
      </c>
      <c r="L2541" s="1466"/>
      <c r="M2541" s="1467">
        <v>0</v>
      </c>
      <c r="N2541" s="1468">
        <v>1.7032195236650169</v>
      </c>
      <c r="O2541" s="1468"/>
    </row>
    <row r="2542" spans="11:15">
      <c r="K2542" s="1465">
        <v>44599</v>
      </c>
      <c r="L2542" s="1466" t="s">
        <v>2125</v>
      </c>
      <c r="M2542" s="1467">
        <v>4.0168000000000002E-2</v>
      </c>
      <c r="N2542" s="1468">
        <v>1.7039036728832826</v>
      </c>
      <c r="O2542" s="1468"/>
    </row>
    <row r="2543" spans="11:15">
      <c r="K2543" s="1465">
        <v>44600</v>
      </c>
      <c r="L2543" s="1466" t="s">
        <v>2125</v>
      </c>
      <c r="M2543" s="1467">
        <v>4.0168000000000002E-2</v>
      </c>
      <c r="N2543" s="1468">
        <v>1.7045880969106062</v>
      </c>
      <c r="O2543" s="1468"/>
    </row>
    <row r="2544" spans="11:15">
      <c r="K2544" s="1465">
        <v>44601</v>
      </c>
      <c r="L2544" s="1466" t="s">
        <v>2125</v>
      </c>
      <c r="M2544" s="1467">
        <v>4.0168000000000002E-2</v>
      </c>
      <c r="N2544" s="1468">
        <v>1.7052727958573732</v>
      </c>
      <c r="O2544" s="1468"/>
    </row>
    <row r="2545" spans="11:15">
      <c r="K2545" s="1465">
        <v>44602</v>
      </c>
      <c r="L2545" s="1466" t="s">
        <v>2125</v>
      </c>
      <c r="M2545" s="1467">
        <v>4.0168000000000002E-2</v>
      </c>
      <c r="N2545" s="1468">
        <v>1.7059577698340131</v>
      </c>
      <c r="O2545" s="1468"/>
    </row>
    <row r="2546" spans="11:15">
      <c r="K2546" s="1465">
        <v>44603</v>
      </c>
      <c r="L2546" s="1466" t="s">
        <v>2125</v>
      </c>
      <c r="M2546" s="1467">
        <v>4.0168000000000002E-2</v>
      </c>
      <c r="N2546" s="1468">
        <v>1.706643018951</v>
      </c>
      <c r="O2546" s="1468"/>
    </row>
    <row r="2547" spans="11:15">
      <c r="K2547" s="1465">
        <v>44604</v>
      </c>
      <c r="L2547" s="1466"/>
      <c r="M2547" s="1467">
        <v>0</v>
      </c>
      <c r="N2547" s="1468">
        <v>1.706643018951</v>
      </c>
      <c r="O2547" s="1468"/>
    </row>
    <row r="2548" spans="11:15">
      <c r="K2548" s="1465">
        <v>44605</v>
      </c>
      <c r="L2548" s="1466"/>
      <c r="M2548" s="1467">
        <v>0</v>
      </c>
      <c r="N2548" s="1468">
        <v>1.706643018951</v>
      </c>
      <c r="O2548" s="1468"/>
    </row>
    <row r="2549" spans="11:15">
      <c r="K2549" s="1465">
        <v>44606</v>
      </c>
      <c r="L2549" s="1466" t="s">
        <v>2125</v>
      </c>
      <c r="M2549" s="1467">
        <v>4.0168000000000002E-2</v>
      </c>
      <c r="N2549" s="1468">
        <v>1.7073285433188521</v>
      </c>
      <c r="O2549" s="1468"/>
    </row>
    <row r="2550" spans="11:15">
      <c r="K2550" s="1465">
        <v>44607</v>
      </c>
      <c r="L2550" s="1466" t="s">
        <v>2125</v>
      </c>
      <c r="M2550" s="1467">
        <v>4.0168000000000002E-2</v>
      </c>
      <c r="N2550" s="1468">
        <v>1.7080143430481323</v>
      </c>
      <c r="O2550" s="1468"/>
    </row>
    <row r="2551" spans="11:15">
      <c r="K2551" s="1465">
        <v>44608</v>
      </c>
      <c r="L2551" s="1466" t="s">
        <v>2125</v>
      </c>
      <c r="M2551" s="1467">
        <v>4.0168000000000002E-2</v>
      </c>
      <c r="N2551" s="1468">
        <v>1.7087004182494478</v>
      </c>
      <c r="O2551" s="1468"/>
    </row>
    <row r="2552" spans="11:15">
      <c r="K2552" s="1465">
        <v>44609</v>
      </c>
      <c r="L2552" s="1466" t="s">
        <v>2125</v>
      </c>
      <c r="M2552" s="1467">
        <v>4.0168000000000002E-2</v>
      </c>
      <c r="N2552" s="1468">
        <v>1.7093867690334503</v>
      </c>
      <c r="O2552" s="1468"/>
    </row>
    <row r="2553" spans="11:15">
      <c r="K2553" s="1465">
        <v>44610</v>
      </c>
      <c r="L2553" s="1466" t="s">
        <v>2125</v>
      </c>
      <c r="M2553" s="1467">
        <v>4.0168000000000002E-2</v>
      </c>
      <c r="N2553" s="1468">
        <v>1.7100733955108356</v>
      </c>
      <c r="O2553" s="1468"/>
    </row>
    <row r="2554" spans="11:15">
      <c r="K2554" s="1465">
        <v>44611</v>
      </c>
      <c r="L2554" s="1466"/>
      <c r="M2554" s="1467">
        <v>0</v>
      </c>
      <c r="N2554" s="1468">
        <v>1.7100733955108356</v>
      </c>
      <c r="O2554" s="1468"/>
    </row>
    <row r="2555" spans="11:15">
      <c r="K2555" s="1465">
        <v>44612</v>
      </c>
      <c r="L2555" s="1466"/>
      <c r="M2555" s="1467">
        <v>0</v>
      </c>
      <c r="N2555" s="1468">
        <v>1.7100733955108356</v>
      </c>
      <c r="O2555" s="1468"/>
    </row>
    <row r="2556" spans="11:15">
      <c r="K2556" s="1465">
        <v>44613</v>
      </c>
      <c r="L2556" s="1466" t="s">
        <v>2125</v>
      </c>
      <c r="M2556" s="1467">
        <v>4.0168000000000002E-2</v>
      </c>
      <c r="N2556" s="1468">
        <v>1.7107602977923444</v>
      </c>
      <c r="O2556" s="1468"/>
    </row>
    <row r="2557" spans="11:15">
      <c r="K2557" s="1465">
        <v>44614</v>
      </c>
      <c r="L2557" s="1466" t="s">
        <v>2125</v>
      </c>
      <c r="M2557" s="1467">
        <v>4.0168000000000002E-2</v>
      </c>
      <c r="N2557" s="1468">
        <v>1.7114474759887615</v>
      </c>
      <c r="O2557" s="1468"/>
    </row>
    <row r="2558" spans="11:15">
      <c r="K2558" s="1465">
        <v>44615</v>
      </c>
      <c r="L2558" s="1466" t="s">
        <v>2125</v>
      </c>
      <c r="M2558" s="1467">
        <v>4.0168000000000002E-2</v>
      </c>
      <c r="N2558" s="1468">
        <v>1.7121349302109166</v>
      </c>
      <c r="O2558" s="1468"/>
    </row>
    <row r="2559" spans="11:15">
      <c r="K2559" s="1465">
        <v>44616</v>
      </c>
      <c r="L2559" s="1466" t="s">
        <v>2125</v>
      </c>
      <c r="M2559" s="1467">
        <v>4.0168000000000002E-2</v>
      </c>
      <c r="N2559" s="1468">
        <v>1.7128226605696837</v>
      </c>
      <c r="O2559" s="1468"/>
    </row>
    <row r="2560" spans="11:15">
      <c r="K2560" s="1465">
        <v>44617</v>
      </c>
      <c r="L2560" s="1466" t="s">
        <v>2125</v>
      </c>
      <c r="M2560" s="1467">
        <v>4.0168000000000002E-2</v>
      </c>
      <c r="N2560" s="1468">
        <v>1.7135106671759812</v>
      </c>
      <c r="O2560" s="1468"/>
    </row>
    <row r="2561" spans="11:15">
      <c r="K2561" s="1465">
        <v>44618</v>
      </c>
      <c r="L2561" s="1466"/>
      <c r="M2561" s="1467">
        <v>0</v>
      </c>
      <c r="N2561" s="1468">
        <v>1.7135106671759812</v>
      </c>
      <c r="O2561" s="1468"/>
    </row>
    <row r="2562" spans="11:15">
      <c r="K2562" s="1465">
        <v>44619</v>
      </c>
      <c r="L2562" s="1466"/>
      <c r="M2562" s="1467">
        <v>0</v>
      </c>
      <c r="N2562" s="1468">
        <v>1.7135106671759812</v>
      </c>
      <c r="O2562" s="1468"/>
    </row>
    <row r="2563" spans="11:15">
      <c r="K2563" s="1465">
        <v>44620</v>
      </c>
      <c r="L2563" s="1466"/>
      <c r="M2563" s="1467">
        <v>0</v>
      </c>
      <c r="N2563" s="1468">
        <v>1.7135106671759812</v>
      </c>
      <c r="O2563" s="1468"/>
    </row>
    <row r="2564" spans="11:15">
      <c r="K2564" s="1465">
        <v>44621</v>
      </c>
      <c r="L2564" s="1466"/>
      <c r="M2564" s="1467">
        <v>0</v>
      </c>
      <c r="N2564" s="1468">
        <v>1.7135106671759812</v>
      </c>
      <c r="O2564" s="1468"/>
    </row>
    <row r="2565" spans="11:15">
      <c r="K2565" s="1465">
        <v>44622</v>
      </c>
      <c r="L2565" s="1466" t="s">
        <v>2125</v>
      </c>
      <c r="M2565" s="1467">
        <v>4.0168000000000002E-2</v>
      </c>
      <c r="N2565" s="1468">
        <v>1.7141989501407724</v>
      </c>
      <c r="O2565" s="1468"/>
    </row>
    <row r="2566" spans="11:15">
      <c r="K2566" s="1465">
        <v>44623</v>
      </c>
      <c r="L2566" s="1466" t="s">
        <v>2125</v>
      </c>
      <c r="M2566" s="1467">
        <v>4.0168000000000002E-2</v>
      </c>
      <c r="N2566" s="1468">
        <v>1.7148875095750649</v>
      </c>
      <c r="O2566" s="1468"/>
    </row>
    <row r="2567" spans="11:15">
      <c r="K2567" s="1465">
        <v>44624</v>
      </c>
      <c r="L2567" s="1466" t="s">
        <v>2125</v>
      </c>
      <c r="M2567" s="1467">
        <v>4.0168000000000002E-2</v>
      </c>
      <c r="N2567" s="1468">
        <v>1.7155763455899109</v>
      </c>
      <c r="O2567" s="1468"/>
    </row>
    <row r="2568" spans="11:15">
      <c r="K2568" s="1465">
        <v>44625</v>
      </c>
      <c r="L2568" s="1466"/>
      <c r="M2568" s="1467">
        <v>0</v>
      </c>
      <c r="N2568" s="1468">
        <v>1.7155763455899109</v>
      </c>
      <c r="O2568" s="1468"/>
    </row>
    <row r="2569" spans="11:15">
      <c r="K2569" s="1465">
        <v>44626</v>
      </c>
      <c r="L2569" s="1466"/>
      <c r="M2569" s="1467">
        <v>0</v>
      </c>
      <c r="N2569" s="1468">
        <v>1.7155763455899109</v>
      </c>
      <c r="O2569" s="1468"/>
    </row>
    <row r="2570" spans="11:15">
      <c r="K2570" s="1465">
        <v>44627</v>
      </c>
      <c r="L2570" s="1466" t="s">
        <v>2125</v>
      </c>
      <c r="M2570" s="1467">
        <v>4.0168000000000002E-2</v>
      </c>
      <c r="N2570" s="1468">
        <v>1.7162654582964074</v>
      </c>
      <c r="O2570" s="1468"/>
    </row>
    <row r="2571" spans="11:15">
      <c r="K2571" s="1465">
        <v>44628</v>
      </c>
      <c r="L2571" s="1466" t="s">
        <v>2125</v>
      </c>
      <c r="M2571" s="1467">
        <v>4.0168000000000002E-2</v>
      </c>
      <c r="N2571" s="1468">
        <v>1.716954847805696</v>
      </c>
      <c r="O2571" s="1468"/>
    </row>
    <row r="2572" spans="11:15">
      <c r="K2572" s="1465">
        <v>44629</v>
      </c>
      <c r="L2572" s="1466" t="s">
        <v>2125</v>
      </c>
      <c r="M2572" s="1467">
        <v>4.0168000000000002E-2</v>
      </c>
      <c r="N2572" s="1468">
        <v>1.7176445142289625</v>
      </c>
      <c r="O2572" s="1468"/>
    </row>
    <row r="2573" spans="11:15">
      <c r="K2573" s="1465">
        <v>44630</v>
      </c>
      <c r="L2573" s="1466" t="s">
        <v>2125</v>
      </c>
      <c r="M2573" s="1467">
        <v>4.0168000000000002E-2</v>
      </c>
      <c r="N2573" s="1468">
        <v>1.718334457677438</v>
      </c>
      <c r="O2573" s="1468"/>
    </row>
    <row r="2574" spans="11:15">
      <c r="K2574" s="1465">
        <v>44631</v>
      </c>
      <c r="L2574" s="1466" t="s">
        <v>2125</v>
      </c>
      <c r="M2574" s="1467">
        <v>4.0168000000000002E-2</v>
      </c>
      <c r="N2574" s="1468">
        <v>1.7190246782623977</v>
      </c>
      <c r="O2574" s="1468"/>
    </row>
    <row r="2575" spans="11:15">
      <c r="K2575" s="1465">
        <v>44632</v>
      </c>
      <c r="L2575" s="1466"/>
      <c r="M2575" s="1467">
        <v>0</v>
      </c>
      <c r="N2575" s="1468">
        <v>1.7190246782623977</v>
      </c>
      <c r="O2575" s="1468"/>
    </row>
    <row r="2576" spans="11:15">
      <c r="K2576" s="1465">
        <v>44633</v>
      </c>
      <c r="L2576" s="1466"/>
      <c r="M2576" s="1467">
        <v>0</v>
      </c>
      <c r="N2576" s="1468">
        <v>1.7190246782623977</v>
      </c>
      <c r="O2576" s="1468"/>
    </row>
    <row r="2577" spans="11:15">
      <c r="K2577" s="1465">
        <v>44634</v>
      </c>
      <c r="L2577" s="1466" t="s">
        <v>2125</v>
      </c>
      <c r="M2577" s="1467">
        <v>4.0168000000000002E-2</v>
      </c>
      <c r="N2577" s="1468">
        <v>1.7197151760951621</v>
      </c>
      <c r="O2577" s="1468"/>
    </row>
    <row r="2578" spans="11:15">
      <c r="K2578" s="1465">
        <v>44635</v>
      </c>
      <c r="L2578" s="1466" t="s">
        <v>2125</v>
      </c>
      <c r="M2578" s="1467">
        <v>4.0168000000000002E-2</v>
      </c>
      <c r="N2578" s="1468">
        <v>1.7204059512870959</v>
      </c>
      <c r="O2578" s="1468"/>
    </row>
    <row r="2579" spans="11:15">
      <c r="K2579" s="1465">
        <v>44636</v>
      </c>
      <c r="L2579" s="1466" t="s">
        <v>2125</v>
      </c>
      <c r="M2579" s="1467">
        <v>4.0168000000000002E-2</v>
      </c>
      <c r="N2579" s="1468">
        <v>1.721097003949609</v>
      </c>
      <c r="O2579" s="1468"/>
    </row>
    <row r="2580" spans="11:15">
      <c r="K2580" s="1465">
        <v>44637</v>
      </c>
      <c r="L2580" s="1466" t="s">
        <v>2125</v>
      </c>
      <c r="M2580" s="1467">
        <v>4.3739E-2</v>
      </c>
      <c r="N2580" s="1468">
        <v>1.7218497945681666</v>
      </c>
      <c r="O2580" s="1468"/>
    </row>
    <row r="2581" spans="11:15">
      <c r="K2581" s="1465">
        <v>44638</v>
      </c>
      <c r="L2581" s="1466" t="s">
        <v>2125</v>
      </c>
      <c r="M2581" s="1467">
        <v>4.3739E-2</v>
      </c>
      <c r="N2581" s="1468">
        <v>1.7226029144498129</v>
      </c>
      <c r="O2581" s="1468"/>
    </row>
    <row r="2582" spans="11:15">
      <c r="K2582" s="1465">
        <v>44639</v>
      </c>
      <c r="L2582" s="1466"/>
      <c r="M2582" s="1467">
        <v>0</v>
      </c>
      <c r="N2582" s="1468">
        <v>1.7226029144498129</v>
      </c>
      <c r="O2582" s="1468"/>
    </row>
    <row r="2583" spans="11:15">
      <c r="K2583" s="1465">
        <v>44640</v>
      </c>
      <c r="L2583" s="1466"/>
      <c r="M2583" s="1467">
        <v>0</v>
      </c>
      <c r="N2583" s="1468">
        <v>1.7226029144498129</v>
      </c>
      <c r="O2583" s="1468"/>
    </row>
    <row r="2584" spans="11:15">
      <c r="K2584" s="1465">
        <v>44641</v>
      </c>
      <c r="L2584" s="1466" t="s">
        <v>2125</v>
      </c>
      <c r="M2584" s="1467">
        <v>4.3739E-2</v>
      </c>
      <c r="N2584" s="1468">
        <v>1.7233563637385643</v>
      </c>
      <c r="O2584" s="1468"/>
    </row>
    <row r="2585" spans="11:15">
      <c r="K2585" s="1465">
        <v>44642</v>
      </c>
      <c r="L2585" s="1466" t="s">
        <v>2125</v>
      </c>
      <c r="M2585" s="1467">
        <v>4.3739E-2</v>
      </c>
      <c r="N2585" s="1468">
        <v>1.7241101425785001</v>
      </c>
      <c r="O2585" s="1468"/>
    </row>
    <row r="2586" spans="11:15">
      <c r="K2586" s="1465">
        <v>44643</v>
      </c>
      <c r="L2586" s="1466" t="s">
        <v>2125</v>
      </c>
      <c r="M2586" s="1467">
        <v>4.3739E-2</v>
      </c>
      <c r="N2586" s="1468">
        <v>1.7248642511137626</v>
      </c>
      <c r="O2586" s="1468"/>
    </row>
    <row r="2587" spans="11:15">
      <c r="K2587" s="1465">
        <v>44644</v>
      </c>
      <c r="L2587" s="1466" t="s">
        <v>2125</v>
      </c>
      <c r="M2587" s="1467">
        <v>4.3739E-2</v>
      </c>
      <c r="N2587" s="1468">
        <v>1.7256186894885575</v>
      </c>
      <c r="O2587" s="1468"/>
    </row>
    <row r="2588" spans="11:15">
      <c r="K2588" s="1465">
        <v>44645</v>
      </c>
      <c r="L2588" s="1466" t="s">
        <v>2125</v>
      </c>
      <c r="M2588" s="1467">
        <v>4.3739E-2</v>
      </c>
      <c r="N2588" s="1468">
        <v>1.726373457847153</v>
      </c>
      <c r="O2588" s="1468"/>
    </row>
    <row r="2589" spans="11:15">
      <c r="K2589" s="1465">
        <v>44646</v>
      </c>
      <c r="L2589" s="1466"/>
      <c r="M2589" s="1467">
        <v>0</v>
      </c>
      <c r="N2589" s="1468">
        <v>1.726373457847153</v>
      </c>
      <c r="O2589" s="1468"/>
    </row>
    <row r="2590" spans="11:15">
      <c r="K2590" s="1465">
        <v>44647</v>
      </c>
      <c r="L2590" s="1466"/>
      <c r="M2590" s="1467">
        <v>0</v>
      </c>
      <c r="N2590" s="1468">
        <v>1.726373457847153</v>
      </c>
      <c r="O2590" s="1468"/>
    </row>
    <row r="2591" spans="11:15">
      <c r="K2591" s="1465">
        <v>44648</v>
      </c>
      <c r="L2591" s="1466" t="s">
        <v>2125</v>
      </c>
      <c r="M2591" s="1467">
        <v>4.3739E-2</v>
      </c>
      <c r="N2591" s="1468">
        <v>1.727128556333881</v>
      </c>
      <c r="O2591" s="1468"/>
    </row>
    <row r="2592" spans="11:15">
      <c r="K2592" s="1465">
        <v>44649</v>
      </c>
      <c r="L2592" s="1466" t="s">
        <v>2125</v>
      </c>
      <c r="M2592" s="1467">
        <v>4.3739E-2</v>
      </c>
      <c r="N2592" s="1468">
        <v>1.727883985093136</v>
      </c>
      <c r="O2592" s="1468"/>
    </row>
    <row r="2593" spans="11:15">
      <c r="K2593" s="1465">
        <v>44650</v>
      </c>
      <c r="L2593" s="1466" t="s">
        <v>2125</v>
      </c>
      <c r="M2593" s="1467">
        <v>4.3739E-2</v>
      </c>
      <c r="N2593" s="1468">
        <v>1.7286397442693762</v>
      </c>
      <c r="O2593" s="1468"/>
    </row>
    <row r="2594" spans="11:15">
      <c r="K2594" s="1465">
        <v>44651</v>
      </c>
      <c r="L2594" s="1466" t="s">
        <v>2125</v>
      </c>
      <c r="M2594" s="1467">
        <v>4.3739E-2</v>
      </c>
      <c r="N2594" s="1468">
        <v>1.7293958340071223</v>
      </c>
      <c r="O2594" s="1468"/>
    </row>
    <row r="2595" spans="11:15">
      <c r="K2595" s="1465">
        <v>44652</v>
      </c>
      <c r="L2595" s="1466" t="s">
        <v>2125</v>
      </c>
      <c r="M2595" s="1467">
        <v>4.3739E-2</v>
      </c>
      <c r="N2595" s="1468">
        <v>1.7301522544509589</v>
      </c>
      <c r="O2595" s="1468"/>
    </row>
    <row r="2596" spans="11:15">
      <c r="K2596" s="1465">
        <v>44653</v>
      </c>
      <c r="L2596" s="1466"/>
      <c r="M2596" s="1467">
        <v>0</v>
      </c>
      <c r="N2596" s="1468">
        <v>1.7301522544509589</v>
      </c>
      <c r="O2596" s="1468"/>
    </row>
    <row r="2597" spans="11:15">
      <c r="K2597" s="1465">
        <v>44654</v>
      </c>
      <c r="L2597" s="1466"/>
      <c r="M2597" s="1467">
        <v>0</v>
      </c>
      <c r="N2597" s="1468">
        <v>1.7301522544509589</v>
      </c>
      <c r="O2597" s="1468"/>
    </row>
    <row r="2598" spans="11:15">
      <c r="K2598" s="1465">
        <v>44655</v>
      </c>
      <c r="L2598" s="1466" t="s">
        <v>2125</v>
      </c>
      <c r="M2598" s="1467">
        <v>4.3739E-2</v>
      </c>
      <c r="N2598" s="1468">
        <v>1.7309090057455334</v>
      </c>
      <c r="O2598" s="1468"/>
    </row>
    <row r="2599" spans="11:15">
      <c r="K2599" s="1465">
        <v>44656</v>
      </c>
      <c r="L2599" s="1466" t="s">
        <v>2125</v>
      </c>
      <c r="M2599" s="1467">
        <v>4.3739E-2</v>
      </c>
      <c r="N2599" s="1468">
        <v>1.7316660880355565</v>
      </c>
      <c r="O2599" s="1468"/>
    </row>
    <row r="2600" spans="11:15">
      <c r="K2600" s="1465">
        <v>44657</v>
      </c>
      <c r="L2600" s="1466" t="s">
        <v>2125</v>
      </c>
      <c r="M2600" s="1467">
        <v>4.3739E-2</v>
      </c>
      <c r="N2600" s="1468">
        <v>1.7324235014658025</v>
      </c>
      <c r="O2600" s="1468"/>
    </row>
    <row r="2601" spans="11:15">
      <c r="K2601" s="1465">
        <v>44658</v>
      </c>
      <c r="L2601" s="1466" t="s">
        <v>2125</v>
      </c>
      <c r="M2601" s="1467">
        <v>4.3739E-2</v>
      </c>
      <c r="N2601" s="1468">
        <v>1.7331812461811087</v>
      </c>
      <c r="O2601" s="1468"/>
    </row>
    <row r="2602" spans="11:15">
      <c r="K2602" s="1465">
        <v>44659</v>
      </c>
      <c r="L2602" s="1466" t="s">
        <v>2125</v>
      </c>
      <c r="M2602" s="1467">
        <v>4.3739E-2</v>
      </c>
      <c r="N2602" s="1468">
        <v>1.7339393223263759</v>
      </c>
      <c r="O2602" s="1468"/>
    </row>
    <row r="2603" spans="11:15">
      <c r="K2603" s="1465">
        <v>44660</v>
      </c>
      <c r="L2603" s="1466"/>
      <c r="M2603" s="1467">
        <v>0</v>
      </c>
      <c r="N2603" s="1468">
        <v>1.7339393223263759</v>
      </c>
      <c r="O2603" s="1468"/>
    </row>
    <row r="2604" spans="11:15">
      <c r="K2604" s="1465">
        <v>44661</v>
      </c>
      <c r="L2604" s="1466"/>
      <c r="M2604" s="1467">
        <v>0</v>
      </c>
      <c r="N2604" s="1468">
        <v>1.7339393223263759</v>
      </c>
      <c r="O2604" s="1468"/>
    </row>
    <row r="2605" spans="11:15">
      <c r="K2605" s="1465">
        <v>44662</v>
      </c>
      <c r="L2605" s="1466" t="s">
        <v>2125</v>
      </c>
      <c r="M2605" s="1467">
        <v>4.3739E-2</v>
      </c>
      <c r="N2605" s="1468">
        <v>1.7346977300465685</v>
      </c>
      <c r="O2605" s="1468"/>
    </row>
    <row r="2606" spans="11:15">
      <c r="K2606" s="1465">
        <v>44663</v>
      </c>
      <c r="L2606" s="1466" t="s">
        <v>2125</v>
      </c>
      <c r="M2606" s="1467">
        <v>4.3739E-2</v>
      </c>
      <c r="N2606" s="1468">
        <v>1.7354564694867136</v>
      </c>
      <c r="O2606" s="1468"/>
    </row>
    <row r="2607" spans="11:15">
      <c r="K2607" s="1465">
        <v>44664</v>
      </c>
      <c r="L2607" s="1466" t="s">
        <v>2125</v>
      </c>
      <c r="M2607" s="1467">
        <v>4.3739E-2</v>
      </c>
      <c r="N2607" s="1468">
        <v>1.7362155407919027</v>
      </c>
      <c r="O2607" s="1468"/>
    </row>
    <row r="2608" spans="11:15">
      <c r="K2608" s="1465">
        <v>44665</v>
      </c>
      <c r="L2608" s="1466" t="s">
        <v>2125</v>
      </c>
      <c r="M2608" s="1467">
        <v>4.3739E-2</v>
      </c>
      <c r="N2608" s="1468">
        <v>1.7369749441072897</v>
      </c>
      <c r="O2608" s="1468"/>
    </row>
    <row r="2609" spans="11:15">
      <c r="K2609" s="1465">
        <v>44666</v>
      </c>
      <c r="L2609" s="1466"/>
      <c r="M2609" s="1467">
        <v>0</v>
      </c>
      <c r="N2609" s="1468">
        <v>1.7369749441072897</v>
      </c>
      <c r="O2609" s="1468"/>
    </row>
    <row r="2610" spans="11:15">
      <c r="K2610" s="1465">
        <v>44667</v>
      </c>
      <c r="L2610" s="1466"/>
      <c r="M2610" s="1467">
        <v>0</v>
      </c>
      <c r="N2610" s="1468">
        <v>1.7369749441072897</v>
      </c>
      <c r="O2610" s="1468"/>
    </row>
    <row r="2611" spans="11:15">
      <c r="K2611" s="1465">
        <v>44668</v>
      </c>
      <c r="L2611" s="1466"/>
      <c r="M2611" s="1467">
        <v>0</v>
      </c>
      <c r="N2611" s="1468">
        <v>1.7369749441072897</v>
      </c>
      <c r="O2611" s="1468"/>
    </row>
    <row r="2612" spans="11:15">
      <c r="K2612" s="1465">
        <v>44669</v>
      </c>
      <c r="L2612" s="1466" t="s">
        <v>2125</v>
      </c>
      <c r="M2612" s="1467">
        <v>4.3739E-2</v>
      </c>
      <c r="N2612" s="1468">
        <v>1.737734679578093</v>
      </c>
      <c r="O2612" s="1468"/>
    </row>
    <row r="2613" spans="11:15">
      <c r="K2613" s="1465">
        <v>44670</v>
      </c>
      <c r="L2613" s="1466" t="s">
        <v>2125</v>
      </c>
      <c r="M2613" s="1467">
        <v>4.3739E-2</v>
      </c>
      <c r="N2613" s="1468">
        <v>1.7384947473495937</v>
      </c>
      <c r="O2613" s="1468"/>
    </row>
    <row r="2614" spans="11:15">
      <c r="K2614" s="1465">
        <v>44671</v>
      </c>
      <c r="L2614" s="1466" t="s">
        <v>2125</v>
      </c>
      <c r="M2614" s="1467">
        <v>4.3739E-2</v>
      </c>
      <c r="N2614" s="1468">
        <v>1.7392551475671372</v>
      </c>
      <c r="O2614" s="1468"/>
    </row>
    <row r="2615" spans="11:15">
      <c r="K2615" s="1465">
        <v>44672</v>
      </c>
      <c r="L2615" s="1466"/>
      <c r="M2615" s="1467">
        <v>0</v>
      </c>
      <c r="N2615" s="1468">
        <v>1.7392551475671372</v>
      </c>
      <c r="O2615" s="1468"/>
    </row>
    <row r="2616" spans="11:15">
      <c r="K2616" s="1465">
        <v>44673</v>
      </c>
      <c r="L2616" s="1466" t="s">
        <v>2125</v>
      </c>
      <c r="M2616" s="1467">
        <v>4.3739E-2</v>
      </c>
      <c r="N2616" s="1468">
        <v>1.7400158803761316</v>
      </c>
      <c r="O2616" s="1468"/>
    </row>
    <row r="2617" spans="11:15">
      <c r="K2617" s="1465">
        <v>44674</v>
      </c>
      <c r="L2617" s="1466"/>
      <c r="M2617" s="1467">
        <v>0</v>
      </c>
      <c r="N2617" s="1468">
        <v>1.7400158803761316</v>
      </c>
      <c r="O2617" s="1468"/>
    </row>
    <row r="2618" spans="11:15">
      <c r="K2618" s="1465">
        <v>44675</v>
      </c>
      <c r="L2618" s="1466"/>
      <c r="M2618" s="1467">
        <v>0</v>
      </c>
      <c r="N2618" s="1468">
        <v>1.7400158803761316</v>
      </c>
      <c r="O2618" s="1468"/>
    </row>
    <row r="2619" spans="11:15">
      <c r="K2619" s="1465">
        <v>44676</v>
      </c>
      <c r="L2619" s="1466" t="s">
        <v>2125</v>
      </c>
      <c r="M2619" s="1467">
        <v>4.3739E-2</v>
      </c>
      <c r="N2619" s="1468">
        <v>1.7407769459220495</v>
      </c>
      <c r="O2619" s="1468"/>
    </row>
    <row r="2620" spans="11:15">
      <c r="K2620" s="1465">
        <v>44677</v>
      </c>
      <c r="L2620" s="1466" t="s">
        <v>2125</v>
      </c>
      <c r="M2620" s="1467">
        <v>4.3739E-2</v>
      </c>
      <c r="N2620" s="1468">
        <v>1.7415383443504264</v>
      </c>
      <c r="O2620" s="1468"/>
    </row>
    <row r="2621" spans="11:15">
      <c r="K2621" s="1465">
        <v>44678</v>
      </c>
      <c r="L2621" s="1466" t="s">
        <v>2125</v>
      </c>
      <c r="M2621" s="1467">
        <v>4.3739E-2</v>
      </c>
      <c r="N2621" s="1468">
        <v>1.7423000758068621</v>
      </c>
      <c r="O2621" s="1468"/>
    </row>
    <row r="2622" spans="11:15">
      <c r="K2622" s="1465">
        <v>44679</v>
      </c>
      <c r="L2622" s="1466" t="s">
        <v>2125</v>
      </c>
      <c r="M2622" s="1467">
        <v>4.3739E-2</v>
      </c>
      <c r="N2622" s="1468">
        <v>1.7430621404370195</v>
      </c>
      <c r="O2622" s="1468"/>
    </row>
    <row r="2623" spans="11:15">
      <c r="K2623" s="1465">
        <v>44680</v>
      </c>
      <c r="L2623" s="1466" t="s">
        <v>2125</v>
      </c>
      <c r="M2623" s="1467">
        <v>4.3739E-2</v>
      </c>
      <c r="N2623" s="1468">
        <v>1.7438245383866253</v>
      </c>
      <c r="O2623" s="1468"/>
    </row>
    <row r="2624" spans="11:15">
      <c r="K2624" s="1465">
        <v>44681</v>
      </c>
      <c r="L2624" s="1466"/>
      <c r="M2624" s="1467">
        <v>0</v>
      </c>
      <c r="N2624" s="1468">
        <v>1.7438245383866253</v>
      </c>
      <c r="O2624" s="1468"/>
    </row>
    <row r="2625" spans="11:15">
      <c r="K2625" s="1465">
        <v>44682</v>
      </c>
      <c r="L2625" s="1466"/>
      <c r="M2625" s="1467">
        <v>0</v>
      </c>
      <c r="N2625" s="1468">
        <v>1.7438245383866253</v>
      </c>
      <c r="O2625" s="1468"/>
    </row>
    <row r="2626" spans="11:15">
      <c r="K2626" s="1465">
        <v>44683</v>
      </c>
      <c r="L2626" s="1466" t="s">
        <v>2125</v>
      </c>
      <c r="M2626" s="1467">
        <v>4.3739E-2</v>
      </c>
      <c r="N2626" s="1468">
        <v>1.7445872698014704</v>
      </c>
      <c r="O2626" s="1468"/>
    </row>
    <row r="2627" spans="11:15">
      <c r="K2627" s="1465">
        <v>44684</v>
      </c>
      <c r="L2627" s="1466" t="s">
        <v>2125</v>
      </c>
      <c r="M2627" s="1467">
        <v>4.3739E-2</v>
      </c>
      <c r="N2627" s="1468">
        <v>1.7453503348274091</v>
      </c>
      <c r="O2627" s="1468"/>
    </row>
    <row r="2628" spans="11:15">
      <c r="K2628" s="1465">
        <v>44685</v>
      </c>
      <c r="L2628" s="1466" t="s">
        <v>2125</v>
      </c>
      <c r="M2628" s="1467">
        <v>4.3739E-2</v>
      </c>
      <c r="N2628" s="1468">
        <v>1.7461137336103594</v>
      </c>
      <c r="O2628" s="1468"/>
    </row>
    <row r="2629" spans="11:15">
      <c r="K2629" s="1465">
        <v>44686</v>
      </c>
      <c r="L2629" s="1466" t="s">
        <v>2125</v>
      </c>
      <c r="M2629" s="1467">
        <v>4.7279000000000002E-2</v>
      </c>
      <c r="N2629" s="1468">
        <v>1.7469392787224729</v>
      </c>
      <c r="O2629" s="1468"/>
    </row>
    <row r="2630" spans="11:15">
      <c r="K2630" s="1465">
        <v>44687</v>
      </c>
      <c r="L2630" s="1466" t="s">
        <v>2125</v>
      </c>
      <c r="M2630" s="1467">
        <v>4.7279000000000002E-2</v>
      </c>
      <c r="N2630" s="1468">
        <v>1.7477652141440598</v>
      </c>
      <c r="O2630" s="1468"/>
    </row>
    <row r="2631" spans="11:15">
      <c r="K2631" s="1465">
        <v>44688</v>
      </c>
      <c r="L2631" s="1466"/>
      <c r="M2631" s="1467">
        <v>0</v>
      </c>
      <c r="N2631" s="1468">
        <v>1.7477652141440598</v>
      </c>
      <c r="O2631" s="1468"/>
    </row>
    <row r="2632" spans="11:15">
      <c r="K2632" s="1465">
        <v>44689</v>
      </c>
      <c r="L2632" s="1466"/>
      <c r="M2632" s="1467">
        <v>0</v>
      </c>
      <c r="N2632" s="1468">
        <v>1.7477652141440598</v>
      </c>
      <c r="O2632" s="1468"/>
    </row>
    <row r="2633" spans="11:15">
      <c r="K2633" s="1465">
        <v>44690</v>
      </c>
      <c r="L2633" s="1466" t="s">
        <v>2125</v>
      </c>
      <c r="M2633" s="1467">
        <v>4.7279000000000002E-2</v>
      </c>
      <c r="N2633" s="1468">
        <v>1.7485915400596548</v>
      </c>
      <c r="O2633" s="1468"/>
    </row>
    <row r="2634" spans="11:15">
      <c r="K2634" s="1465">
        <v>44691</v>
      </c>
      <c r="L2634" s="1466" t="s">
        <v>2125</v>
      </c>
      <c r="M2634" s="1467">
        <v>4.7279000000000002E-2</v>
      </c>
      <c r="N2634" s="1468">
        <v>1.7494182566538794</v>
      </c>
      <c r="O2634" s="1468"/>
    </row>
    <row r="2635" spans="11:15">
      <c r="K2635" s="1465">
        <v>44692</v>
      </c>
      <c r="L2635" s="1466" t="s">
        <v>2125</v>
      </c>
      <c r="M2635" s="1467">
        <v>4.7279000000000002E-2</v>
      </c>
      <c r="N2635" s="1468">
        <v>1.7502453641114426</v>
      </c>
      <c r="O2635" s="1468"/>
    </row>
    <row r="2636" spans="11:15">
      <c r="K2636" s="1465">
        <v>44693</v>
      </c>
      <c r="L2636" s="1466" t="s">
        <v>2125</v>
      </c>
      <c r="M2636" s="1467">
        <v>4.7279000000000002E-2</v>
      </c>
      <c r="N2636" s="1468">
        <v>1.7510728626171406</v>
      </c>
      <c r="O2636" s="1468"/>
    </row>
    <row r="2637" spans="11:15">
      <c r="K2637" s="1465">
        <v>44694</v>
      </c>
      <c r="L2637" s="1466" t="s">
        <v>2125</v>
      </c>
      <c r="M2637" s="1467">
        <v>4.7279000000000002E-2</v>
      </c>
      <c r="N2637" s="1468">
        <v>1.7519007523558572</v>
      </c>
      <c r="O2637" s="1468"/>
    </row>
    <row r="2638" spans="11:15">
      <c r="K2638" s="1465">
        <v>44695</v>
      </c>
      <c r="L2638" s="1466"/>
      <c r="M2638" s="1467">
        <v>0</v>
      </c>
      <c r="N2638" s="1468">
        <v>1.7519007523558572</v>
      </c>
      <c r="O2638" s="1468"/>
    </row>
    <row r="2639" spans="11:15">
      <c r="K2639" s="1465">
        <v>44696</v>
      </c>
      <c r="L2639" s="1466"/>
      <c r="M2639" s="1467">
        <v>0</v>
      </c>
      <c r="N2639" s="1468">
        <v>1.7519007523558572</v>
      </c>
      <c r="O2639" s="1468"/>
    </row>
    <row r="2640" spans="11:15">
      <c r="K2640" s="1465">
        <v>44697</v>
      </c>
      <c r="L2640" s="1466" t="s">
        <v>2125</v>
      </c>
      <c r="M2640" s="1467">
        <v>4.7279000000000002E-2</v>
      </c>
      <c r="N2640" s="1468">
        <v>1.7527290335125634</v>
      </c>
      <c r="O2640" s="1468"/>
    </row>
    <row r="2641" spans="11:15">
      <c r="K2641" s="1465">
        <v>44698</v>
      </c>
      <c r="L2641" s="1466" t="s">
        <v>2125</v>
      </c>
      <c r="M2641" s="1467">
        <v>4.7279000000000002E-2</v>
      </c>
      <c r="N2641" s="1468">
        <v>1.7535577062723176</v>
      </c>
      <c r="O2641" s="1468"/>
    </row>
    <row r="2642" spans="11:15">
      <c r="K2642" s="1465">
        <v>44699</v>
      </c>
      <c r="L2642" s="1466" t="s">
        <v>2125</v>
      </c>
      <c r="M2642" s="1467">
        <v>4.7279000000000002E-2</v>
      </c>
      <c r="N2642" s="1468">
        <v>1.7543867708202658</v>
      </c>
      <c r="O2642" s="1468"/>
    </row>
    <row r="2643" spans="11:15">
      <c r="K2643" s="1465">
        <v>44700</v>
      </c>
      <c r="L2643" s="1466" t="s">
        <v>2125</v>
      </c>
      <c r="M2643" s="1467">
        <v>4.7279000000000002E-2</v>
      </c>
      <c r="N2643" s="1468">
        <v>1.7552162273416418</v>
      </c>
      <c r="O2643" s="1468"/>
    </row>
    <row r="2644" spans="11:15">
      <c r="K2644" s="1465">
        <v>44701</v>
      </c>
      <c r="L2644" s="1466" t="s">
        <v>2125</v>
      </c>
      <c r="M2644" s="1467">
        <v>4.7279000000000002E-2</v>
      </c>
      <c r="N2644" s="1468">
        <v>1.7560460760217664</v>
      </c>
      <c r="O2644" s="1468"/>
    </row>
    <row r="2645" spans="11:15">
      <c r="K2645" s="1465">
        <v>44702</v>
      </c>
      <c r="L2645" s="1466"/>
      <c r="M2645" s="1467">
        <v>0</v>
      </c>
      <c r="N2645" s="1468">
        <v>1.7560460760217664</v>
      </c>
      <c r="O2645" s="1468"/>
    </row>
    <row r="2646" spans="11:15">
      <c r="K2646" s="1465">
        <v>44703</v>
      </c>
      <c r="L2646" s="1466"/>
      <c r="M2646" s="1467">
        <v>0</v>
      </c>
      <c r="N2646" s="1468">
        <v>1.7560460760217664</v>
      </c>
      <c r="O2646" s="1468"/>
    </row>
    <row r="2647" spans="11:15">
      <c r="K2647" s="1465">
        <v>44704</v>
      </c>
      <c r="L2647" s="1466" t="s">
        <v>2125</v>
      </c>
      <c r="M2647" s="1467">
        <v>4.7279000000000002E-2</v>
      </c>
      <c r="N2647" s="1468">
        <v>1.7568763170460486</v>
      </c>
      <c r="O2647" s="1468"/>
    </row>
    <row r="2648" spans="11:15">
      <c r="K2648" s="1465">
        <v>44705</v>
      </c>
      <c r="L2648" s="1466" t="s">
        <v>2125</v>
      </c>
      <c r="M2648" s="1467">
        <v>4.7279000000000002E-2</v>
      </c>
      <c r="N2648" s="1468">
        <v>1.7577069505999847</v>
      </c>
      <c r="O2648" s="1468"/>
    </row>
    <row r="2649" spans="11:15">
      <c r="K2649" s="1465">
        <v>44706</v>
      </c>
      <c r="L2649" s="1466" t="s">
        <v>2125</v>
      </c>
      <c r="M2649" s="1467">
        <v>4.7279000000000002E-2</v>
      </c>
      <c r="N2649" s="1468">
        <v>1.7585379768691587</v>
      </c>
      <c r="O2649" s="1468"/>
    </row>
    <row r="2650" spans="11:15">
      <c r="K2650" s="1465">
        <v>44707</v>
      </c>
      <c r="L2650" s="1466" t="s">
        <v>2125</v>
      </c>
      <c r="M2650" s="1467">
        <v>4.7279000000000002E-2</v>
      </c>
      <c r="N2650" s="1468">
        <v>1.7593693960392425</v>
      </c>
      <c r="O2650" s="1468"/>
    </row>
    <row r="2651" spans="11:15">
      <c r="K2651" s="1465">
        <v>44708</v>
      </c>
      <c r="L2651" s="1466" t="s">
        <v>2125</v>
      </c>
      <c r="M2651" s="1467">
        <v>4.7279000000000002E-2</v>
      </c>
      <c r="N2651" s="1468">
        <v>1.7602012082959957</v>
      </c>
      <c r="O2651" s="1468"/>
    </row>
    <row r="2652" spans="11:15">
      <c r="K2652" s="1465">
        <v>44709</v>
      </c>
      <c r="L2652" s="1466"/>
      <c r="M2652" s="1467">
        <v>0</v>
      </c>
      <c r="N2652" s="1468">
        <v>1.7602012082959957</v>
      </c>
      <c r="O2652" s="1468"/>
    </row>
    <row r="2653" spans="11:15">
      <c r="K2653" s="1465">
        <v>44710</v>
      </c>
      <c r="L2653" s="1466"/>
      <c r="M2653" s="1467">
        <v>0</v>
      </c>
      <c r="N2653" s="1468">
        <v>1.7602012082959957</v>
      </c>
      <c r="O2653" s="1468"/>
    </row>
    <row r="2654" spans="11:15">
      <c r="K2654" s="1465">
        <v>44711</v>
      </c>
      <c r="L2654" s="1466" t="s">
        <v>2125</v>
      </c>
      <c r="M2654" s="1467">
        <v>4.7279000000000002E-2</v>
      </c>
      <c r="N2654" s="1468">
        <v>1.7610334138252657</v>
      </c>
      <c r="O2654" s="1468"/>
    </row>
    <row r="2655" spans="11:15">
      <c r="K2655" s="1465">
        <v>44712</v>
      </c>
      <c r="L2655" s="1466" t="s">
        <v>2125</v>
      </c>
      <c r="M2655" s="1467">
        <v>4.7279000000000002E-2</v>
      </c>
      <c r="N2655" s="1468">
        <v>1.7618660128129879</v>
      </c>
      <c r="O2655" s="1468"/>
    </row>
    <row r="2656" spans="11:15">
      <c r="K2656" s="1465">
        <v>44713</v>
      </c>
      <c r="L2656" s="1466" t="s">
        <v>2125</v>
      </c>
      <c r="M2656" s="1467">
        <v>4.7279000000000002E-2</v>
      </c>
      <c r="N2656" s="1468">
        <v>1.7626990054451857</v>
      </c>
      <c r="O2656" s="1468"/>
    </row>
    <row r="2657" spans="11:15">
      <c r="K2657" s="1465">
        <v>44714</v>
      </c>
      <c r="L2657" s="1466" t="s">
        <v>2125</v>
      </c>
      <c r="M2657" s="1467">
        <v>4.7279000000000002E-2</v>
      </c>
      <c r="N2657" s="1468">
        <v>1.76353239190797</v>
      </c>
      <c r="O2657" s="1468"/>
    </row>
    <row r="2658" spans="11:15">
      <c r="K2658" s="1465">
        <v>44715</v>
      </c>
      <c r="L2658" s="1466" t="s">
        <v>2125</v>
      </c>
      <c r="M2658" s="1467">
        <v>4.7279000000000002E-2</v>
      </c>
      <c r="N2658" s="1468">
        <v>1.7643661723875399</v>
      </c>
      <c r="O2658" s="1468"/>
    </row>
    <row r="2659" spans="11:15">
      <c r="K2659" s="1465">
        <v>44716</v>
      </c>
      <c r="L2659" s="1466"/>
      <c r="M2659" s="1467">
        <v>0</v>
      </c>
      <c r="N2659" s="1468">
        <v>1.7643661723875399</v>
      </c>
      <c r="O2659" s="1468"/>
    </row>
    <row r="2660" spans="11:15">
      <c r="K2660" s="1465">
        <v>44717</v>
      </c>
      <c r="L2660" s="1466"/>
      <c r="M2660" s="1467">
        <v>0</v>
      </c>
      <c r="N2660" s="1468">
        <v>1.7643661723875399</v>
      </c>
      <c r="O2660" s="1468"/>
    </row>
    <row r="2661" spans="11:15">
      <c r="K2661" s="1465">
        <v>44718</v>
      </c>
      <c r="L2661" s="1466" t="s">
        <v>2125</v>
      </c>
      <c r="M2661" s="1467">
        <v>4.7279000000000002E-2</v>
      </c>
      <c r="N2661" s="1468">
        <v>1.7652003470701829</v>
      </c>
      <c r="O2661" s="1468"/>
    </row>
    <row r="2662" spans="11:15">
      <c r="K2662" s="1465">
        <v>44719</v>
      </c>
      <c r="L2662" s="1466" t="s">
        <v>2125</v>
      </c>
      <c r="M2662" s="1467">
        <v>4.7279000000000002E-2</v>
      </c>
      <c r="N2662" s="1468">
        <v>1.7660349161422739</v>
      </c>
      <c r="O2662" s="1468"/>
    </row>
    <row r="2663" spans="11:15">
      <c r="K2663" s="1465">
        <v>44720</v>
      </c>
      <c r="L2663" s="1466" t="s">
        <v>2125</v>
      </c>
      <c r="M2663" s="1467">
        <v>4.7279000000000002E-2</v>
      </c>
      <c r="N2663" s="1468">
        <v>1.7668698797902767</v>
      </c>
      <c r="O2663" s="1468"/>
    </row>
    <row r="2664" spans="11:15">
      <c r="K2664" s="1465">
        <v>44721</v>
      </c>
      <c r="L2664" s="1466" t="s">
        <v>2125</v>
      </c>
      <c r="M2664" s="1467">
        <v>4.7279000000000002E-2</v>
      </c>
      <c r="N2664" s="1468">
        <v>1.7677052382007425</v>
      </c>
      <c r="O2664" s="1468"/>
    </row>
    <row r="2665" spans="11:15">
      <c r="K2665" s="1465">
        <v>44722</v>
      </c>
      <c r="L2665" s="1466" t="s">
        <v>2125</v>
      </c>
      <c r="M2665" s="1467">
        <v>4.7279000000000002E-2</v>
      </c>
      <c r="N2665" s="1468">
        <v>1.7685409915603112</v>
      </c>
      <c r="O2665" s="1468"/>
    </row>
    <row r="2666" spans="11:15">
      <c r="K2666" s="1465">
        <v>44723</v>
      </c>
      <c r="L2666" s="1466"/>
      <c r="M2666" s="1467">
        <v>0</v>
      </c>
      <c r="N2666" s="1468">
        <v>1.7685409915603112</v>
      </c>
      <c r="O2666" s="1468"/>
    </row>
    <row r="2667" spans="11:15">
      <c r="K2667" s="1465">
        <v>44724</v>
      </c>
      <c r="L2667" s="1466"/>
      <c r="M2667" s="1467">
        <v>0</v>
      </c>
      <c r="N2667" s="1468">
        <v>1.7685409915603112</v>
      </c>
      <c r="O2667" s="1468"/>
    </row>
    <row r="2668" spans="11:15">
      <c r="K2668" s="1465">
        <v>44725</v>
      </c>
      <c r="L2668" s="1466" t="s">
        <v>2125</v>
      </c>
      <c r="M2668" s="1467">
        <v>4.7279000000000002E-2</v>
      </c>
      <c r="N2668" s="1468">
        <v>1.7693771400557108</v>
      </c>
      <c r="O2668" s="1468"/>
    </row>
    <row r="2669" spans="11:15">
      <c r="K2669" s="1465">
        <v>44726</v>
      </c>
      <c r="L2669" s="1466" t="s">
        <v>2125</v>
      </c>
      <c r="M2669" s="1467">
        <v>4.7279000000000002E-2</v>
      </c>
      <c r="N2669" s="1468">
        <v>1.7702136838737574</v>
      </c>
      <c r="O2669" s="1468"/>
    </row>
    <row r="2670" spans="11:15">
      <c r="K2670" s="1465">
        <v>44727</v>
      </c>
      <c r="L2670" s="1466" t="s">
        <v>2125</v>
      </c>
      <c r="M2670" s="1467">
        <v>4.7279000000000002E-2</v>
      </c>
      <c r="N2670" s="1468">
        <v>1.7710506232013559</v>
      </c>
      <c r="O2670" s="1468"/>
    </row>
    <row r="2671" spans="11:15">
      <c r="K2671" s="1465">
        <v>44728</v>
      </c>
      <c r="L2671" s="1466"/>
      <c r="M2671" s="1467">
        <v>0</v>
      </c>
      <c r="N2671" s="1468">
        <v>1.7710506232013559</v>
      </c>
      <c r="O2671" s="1468"/>
    </row>
    <row r="2672" spans="11:15">
      <c r="K2672" s="1465">
        <v>44729</v>
      </c>
      <c r="L2672" s="1466" t="s">
        <v>2125</v>
      </c>
      <c r="M2672" s="1467">
        <v>4.9036999999999997E-2</v>
      </c>
      <c r="N2672" s="1468">
        <v>1.7719190932954552</v>
      </c>
      <c r="O2672" s="1468"/>
    </row>
    <row r="2673" spans="11:15">
      <c r="K2673" s="1465">
        <v>44730</v>
      </c>
      <c r="L2673" s="1466"/>
      <c r="M2673" s="1467">
        <v>0</v>
      </c>
      <c r="N2673" s="1468">
        <v>1.7719190932954552</v>
      </c>
      <c r="O2673" s="1468"/>
    </row>
    <row r="2674" spans="11:15">
      <c r="K2674" s="1465">
        <v>44731</v>
      </c>
      <c r="L2674" s="1466"/>
      <c r="M2674" s="1467">
        <v>0</v>
      </c>
      <c r="N2674" s="1468">
        <v>1.7719190932954552</v>
      </c>
      <c r="O2674" s="1468"/>
    </row>
    <row r="2675" spans="11:15">
      <c r="K2675" s="1465">
        <v>44732</v>
      </c>
      <c r="L2675" s="1466" t="s">
        <v>2125</v>
      </c>
      <c r="M2675" s="1467">
        <v>4.9036999999999997E-2</v>
      </c>
      <c r="N2675" s="1468">
        <v>1.7727879892612346</v>
      </c>
      <c r="O2675" s="1468"/>
    </row>
    <row r="2676" spans="11:15">
      <c r="K2676" s="1465">
        <v>44733</v>
      </c>
      <c r="L2676" s="1466" t="s">
        <v>2125</v>
      </c>
      <c r="M2676" s="1467">
        <v>4.9036999999999997E-2</v>
      </c>
      <c r="N2676" s="1468">
        <v>1.7736573113075287</v>
      </c>
      <c r="O2676" s="1468"/>
    </row>
    <row r="2677" spans="11:15">
      <c r="K2677" s="1465">
        <v>44734</v>
      </c>
      <c r="L2677" s="1466" t="s">
        <v>2125</v>
      </c>
      <c r="M2677" s="1467">
        <v>4.9036999999999997E-2</v>
      </c>
      <c r="N2677" s="1468">
        <v>1.7745270596432747</v>
      </c>
      <c r="O2677" s="1468"/>
    </row>
    <row r="2678" spans="11:15">
      <c r="K2678" s="1465">
        <v>44735</v>
      </c>
      <c r="L2678" s="1466" t="s">
        <v>2125</v>
      </c>
      <c r="M2678" s="1467">
        <v>4.9036999999999997E-2</v>
      </c>
      <c r="N2678" s="1468">
        <v>1.7753972344775122</v>
      </c>
      <c r="O2678" s="1468"/>
    </row>
    <row r="2679" spans="11:15">
      <c r="K2679" s="1465">
        <v>44736</v>
      </c>
      <c r="L2679" s="1466" t="s">
        <v>2125</v>
      </c>
      <c r="M2679" s="1467">
        <v>4.9036999999999997E-2</v>
      </c>
      <c r="N2679" s="1468">
        <v>1.7762678360193831</v>
      </c>
      <c r="O2679" s="1468"/>
    </row>
    <row r="2680" spans="11:15">
      <c r="K2680" s="1465">
        <v>44737</v>
      </c>
      <c r="L2680" s="1466"/>
      <c r="M2680" s="1467">
        <v>0</v>
      </c>
      <c r="N2680" s="1468">
        <v>1.7762678360193831</v>
      </c>
      <c r="O2680" s="1468"/>
    </row>
    <row r="2681" spans="11:15">
      <c r="K2681" s="1465">
        <v>44738</v>
      </c>
      <c r="L2681" s="1466"/>
      <c r="M2681" s="1467">
        <v>0</v>
      </c>
      <c r="N2681" s="1468">
        <v>1.7762678360193831</v>
      </c>
      <c r="O2681" s="1468"/>
    </row>
    <row r="2682" spans="11:15">
      <c r="K2682" s="1465">
        <v>44739</v>
      </c>
      <c r="L2682" s="1466" t="s">
        <v>2125</v>
      </c>
      <c r="M2682" s="1467">
        <v>4.9036999999999997E-2</v>
      </c>
      <c r="N2682" s="1468">
        <v>1.7771388644781321</v>
      </c>
      <c r="O2682" s="1468"/>
    </row>
    <row r="2683" spans="11:15">
      <c r="K2683" s="1465">
        <v>44740</v>
      </c>
      <c r="L2683" s="1466" t="s">
        <v>2125</v>
      </c>
      <c r="M2683" s="1467">
        <v>4.9036999999999997E-2</v>
      </c>
      <c r="N2683" s="1468">
        <v>1.7780103200631063</v>
      </c>
      <c r="O2683" s="1468"/>
    </row>
    <row r="2684" spans="11:15">
      <c r="K2684" s="1465">
        <v>44741</v>
      </c>
      <c r="L2684" s="1466" t="s">
        <v>2125</v>
      </c>
      <c r="M2684" s="1467">
        <v>4.9036999999999997E-2</v>
      </c>
      <c r="N2684" s="1468">
        <v>1.7788822029837559</v>
      </c>
      <c r="O2684" s="1468"/>
    </row>
    <row r="2685" spans="11:15">
      <c r="K2685" s="1465">
        <v>44742</v>
      </c>
      <c r="L2685" s="1466" t="s">
        <v>2125</v>
      </c>
      <c r="M2685" s="1467">
        <v>4.9036999999999997E-2</v>
      </c>
      <c r="N2685" s="1468">
        <v>1.7797545134496331</v>
      </c>
      <c r="O2685" s="1468"/>
    </row>
    <row r="2686" spans="11:15">
      <c r="K2686" s="1465">
        <v>44743</v>
      </c>
      <c r="L2686" s="1466" t="s">
        <v>2125</v>
      </c>
      <c r="M2686" s="1467">
        <v>4.9036999999999997E-2</v>
      </c>
      <c r="N2686" s="1468">
        <v>1.7806272516703936</v>
      </c>
      <c r="O2686" s="1468"/>
    </row>
    <row r="2687" spans="11:15">
      <c r="K2687" s="1465">
        <v>44744</v>
      </c>
      <c r="L2687" s="1466"/>
      <c r="M2687" s="1467">
        <v>0</v>
      </c>
      <c r="N2687" s="1468">
        <v>1.7806272516703936</v>
      </c>
      <c r="O2687" s="1468"/>
    </row>
    <row r="2688" spans="11:15">
      <c r="K2688" s="1465">
        <v>44745</v>
      </c>
      <c r="L2688" s="1466"/>
      <c r="M2688" s="1467">
        <v>0</v>
      </c>
      <c r="N2688" s="1468">
        <v>1.7806272516703936</v>
      </c>
      <c r="O2688" s="1468"/>
    </row>
    <row r="2689" spans="11:15">
      <c r="K2689" s="1465">
        <v>44746</v>
      </c>
      <c r="L2689" s="1466" t="s">
        <v>2125</v>
      </c>
      <c r="M2689" s="1467">
        <v>4.9036999999999997E-2</v>
      </c>
      <c r="N2689" s="1468">
        <v>1.7815004178557954</v>
      </c>
      <c r="O2689" s="1468"/>
    </row>
    <row r="2690" spans="11:15">
      <c r="K2690" s="1465">
        <v>44747</v>
      </c>
      <c r="L2690" s="1466" t="s">
        <v>2125</v>
      </c>
      <c r="M2690" s="1467">
        <v>4.9036999999999997E-2</v>
      </c>
      <c r="N2690" s="1468">
        <v>1.7823740122156995</v>
      </c>
      <c r="O2690" s="1468"/>
    </row>
    <row r="2691" spans="11:15">
      <c r="K2691" s="1465">
        <v>44748</v>
      </c>
      <c r="L2691" s="1466" t="s">
        <v>2125</v>
      </c>
      <c r="M2691" s="1467">
        <v>4.9036999999999997E-2</v>
      </c>
      <c r="N2691" s="1468">
        <v>1.7832480349600699</v>
      </c>
      <c r="O2691" s="1468"/>
    </row>
    <row r="2692" spans="11:15">
      <c r="K2692" s="1465">
        <v>44749</v>
      </c>
      <c r="L2692" s="1466" t="s">
        <v>2125</v>
      </c>
      <c r="M2692" s="1467">
        <v>4.9036999999999997E-2</v>
      </c>
      <c r="N2692" s="1468">
        <v>1.7841224862989733</v>
      </c>
      <c r="O2692" s="1468"/>
    </row>
    <row r="2693" spans="11:15">
      <c r="K2693" s="1465">
        <v>44750</v>
      </c>
      <c r="L2693" s="1466" t="s">
        <v>2125</v>
      </c>
      <c r="M2693" s="1467">
        <v>4.9036999999999997E-2</v>
      </c>
      <c r="N2693" s="1468">
        <v>1.7849973664425798</v>
      </c>
      <c r="O2693" s="1468"/>
    </row>
    <row r="2694" spans="11:15">
      <c r="K2694" s="1465">
        <v>44751</v>
      </c>
      <c r="L2694" s="1466"/>
      <c r="M2694" s="1467">
        <v>0</v>
      </c>
      <c r="N2694" s="1468">
        <v>1.7849973664425798</v>
      </c>
      <c r="O2694" s="1468"/>
    </row>
    <row r="2695" spans="11:15">
      <c r="K2695" s="1465">
        <v>44752</v>
      </c>
      <c r="L2695" s="1466"/>
      <c r="M2695" s="1467">
        <v>0</v>
      </c>
      <c r="N2695" s="1468">
        <v>1.7849973664425798</v>
      </c>
      <c r="O2695" s="1468"/>
    </row>
    <row r="2696" spans="11:15">
      <c r="K2696" s="1465">
        <v>44753</v>
      </c>
      <c r="L2696" s="1466" t="s">
        <v>2125</v>
      </c>
      <c r="M2696" s="1467">
        <v>4.9036999999999997E-2</v>
      </c>
      <c r="N2696" s="1468">
        <v>1.7858726756011623</v>
      </c>
      <c r="O2696" s="1468"/>
    </row>
    <row r="2697" spans="11:15">
      <c r="K2697" s="1465">
        <v>44754</v>
      </c>
      <c r="L2697" s="1466" t="s">
        <v>2125</v>
      </c>
      <c r="M2697" s="1467">
        <v>4.9036999999999997E-2</v>
      </c>
      <c r="N2697" s="1468">
        <v>1.7867484139850969</v>
      </c>
      <c r="O2697" s="1468"/>
    </row>
    <row r="2698" spans="11:15">
      <c r="K2698" s="1465">
        <v>44755</v>
      </c>
      <c r="L2698" s="1466" t="s">
        <v>2125</v>
      </c>
      <c r="M2698" s="1467">
        <v>4.9036999999999997E-2</v>
      </c>
      <c r="N2698" s="1468">
        <v>1.7876245818048628</v>
      </c>
      <c r="O2698" s="1468"/>
    </row>
    <row r="2699" spans="11:15">
      <c r="K2699" s="1465">
        <v>44756</v>
      </c>
      <c r="L2699" s="1466" t="s">
        <v>2125</v>
      </c>
      <c r="M2699" s="1467">
        <v>4.9036999999999997E-2</v>
      </c>
      <c r="N2699" s="1468">
        <v>1.7885011792710426</v>
      </c>
      <c r="O2699" s="1468"/>
    </row>
    <row r="2700" spans="11:15">
      <c r="K2700" s="1465">
        <v>44757</v>
      </c>
      <c r="L2700" s="1466" t="s">
        <v>2125</v>
      </c>
      <c r="M2700" s="1467">
        <v>4.9036999999999997E-2</v>
      </c>
      <c r="N2700" s="1468">
        <v>1.7893782065943218</v>
      </c>
      <c r="O2700" s="1468"/>
    </row>
    <row r="2701" spans="11:15">
      <c r="K2701" s="1465">
        <v>44758</v>
      </c>
      <c r="L2701" s="1466"/>
      <c r="M2701" s="1467">
        <v>0</v>
      </c>
      <c r="N2701" s="1468">
        <v>1.7893782065943218</v>
      </c>
      <c r="O2701" s="1468"/>
    </row>
    <row r="2702" spans="11:15">
      <c r="K2702" s="1465">
        <v>44759</v>
      </c>
      <c r="L2702" s="1466"/>
      <c r="M2702" s="1467">
        <v>0</v>
      </c>
      <c r="N2702" s="1468">
        <v>1.7893782065943218</v>
      </c>
      <c r="O2702" s="1468"/>
    </row>
    <row r="2703" spans="11:15">
      <c r="K2703" s="1465">
        <v>44760</v>
      </c>
      <c r="L2703" s="1466" t="s">
        <v>2125</v>
      </c>
      <c r="M2703" s="1467">
        <v>4.9036999999999997E-2</v>
      </c>
      <c r="N2703" s="1468">
        <v>1.7902556639854896</v>
      </c>
      <c r="O2703" s="1468"/>
    </row>
    <row r="2704" spans="11:15">
      <c r="K2704" s="1465">
        <v>44761</v>
      </c>
      <c r="L2704" s="1466" t="s">
        <v>2125</v>
      </c>
      <c r="M2704" s="1467">
        <v>4.9036999999999997E-2</v>
      </c>
      <c r="N2704" s="1468">
        <v>1.7911335516554383</v>
      </c>
      <c r="O2704" s="1468"/>
    </row>
    <row r="2705" spans="11:15">
      <c r="K2705" s="1465">
        <v>44762</v>
      </c>
      <c r="L2705" s="1466" t="s">
        <v>2125</v>
      </c>
      <c r="M2705" s="1467">
        <v>4.9036999999999997E-2</v>
      </c>
      <c r="N2705" s="1468">
        <v>1.7920118698151637</v>
      </c>
      <c r="O2705" s="1468"/>
    </row>
    <row r="2706" spans="11:15">
      <c r="K2706" s="1465">
        <v>44763</v>
      </c>
      <c r="L2706" s="1466" t="s">
        <v>2125</v>
      </c>
      <c r="M2706" s="1467">
        <v>4.9036999999999997E-2</v>
      </c>
      <c r="N2706" s="1468">
        <v>1.7928906186757652</v>
      </c>
      <c r="O2706" s="1468"/>
    </row>
    <row r="2707" spans="11:15">
      <c r="K2707" s="1465">
        <v>44764</v>
      </c>
      <c r="L2707" s="1466" t="s">
        <v>2125</v>
      </c>
      <c r="M2707" s="1467">
        <v>4.9036999999999997E-2</v>
      </c>
      <c r="N2707" s="1468">
        <v>1.7937697984484453</v>
      </c>
      <c r="O2707" s="1468"/>
    </row>
    <row r="2708" spans="11:15">
      <c r="K2708" s="1465">
        <v>44765</v>
      </c>
      <c r="L2708" s="1466"/>
      <c r="M2708" s="1467">
        <v>0</v>
      </c>
      <c r="N2708" s="1468">
        <v>1.7937697984484453</v>
      </c>
      <c r="O2708" s="1468"/>
    </row>
    <row r="2709" spans="11:15">
      <c r="K2709" s="1465">
        <v>44766</v>
      </c>
      <c r="L2709" s="1466"/>
      <c r="M2709" s="1467">
        <v>0</v>
      </c>
      <c r="N2709" s="1468">
        <v>1.7937697984484453</v>
      </c>
      <c r="O2709" s="1468"/>
    </row>
    <row r="2710" spans="11:15">
      <c r="K2710" s="1465">
        <v>44767</v>
      </c>
      <c r="L2710" s="1466" t="s">
        <v>2125</v>
      </c>
      <c r="M2710" s="1467">
        <v>4.9036999999999997E-2</v>
      </c>
      <c r="N2710" s="1468">
        <v>1.7946494093445107</v>
      </c>
      <c r="O2710" s="1468"/>
    </row>
    <row r="2711" spans="11:15">
      <c r="K2711" s="1465">
        <v>44768</v>
      </c>
      <c r="L2711" s="1466" t="s">
        <v>2125</v>
      </c>
      <c r="M2711" s="1467">
        <v>4.9036999999999997E-2</v>
      </c>
      <c r="N2711" s="1468">
        <v>1.795529451575371</v>
      </c>
      <c r="O2711" s="1468"/>
    </row>
    <row r="2712" spans="11:15">
      <c r="K2712" s="1465">
        <v>44769</v>
      </c>
      <c r="L2712" s="1466" t="s">
        <v>2125</v>
      </c>
      <c r="M2712" s="1467">
        <v>4.9036999999999997E-2</v>
      </c>
      <c r="N2712" s="1468">
        <v>1.7964099253525401</v>
      </c>
      <c r="O2712" s="1468"/>
    </row>
    <row r="2713" spans="11:15">
      <c r="K2713" s="1465">
        <v>44770</v>
      </c>
      <c r="L2713" s="1466" t="s">
        <v>2125</v>
      </c>
      <c r="M2713" s="1467">
        <v>4.9036999999999997E-2</v>
      </c>
      <c r="N2713" s="1468">
        <v>1.7972908308876354</v>
      </c>
      <c r="O2713" s="1468"/>
    </row>
    <row r="2714" spans="11:15">
      <c r="K2714" s="1465">
        <v>44771</v>
      </c>
      <c r="L2714" s="1466" t="s">
        <v>2125</v>
      </c>
      <c r="M2714" s="1467">
        <v>4.9036999999999997E-2</v>
      </c>
      <c r="N2714" s="1468">
        <v>1.7981721683923779</v>
      </c>
      <c r="O2714" s="1468"/>
    </row>
    <row r="2715" spans="11:15">
      <c r="K2715" s="1465">
        <v>44772</v>
      </c>
      <c r="L2715" s="1466"/>
      <c r="M2715" s="1467">
        <v>0</v>
      </c>
      <c r="N2715" s="1468">
        <v>1.7981721683923779</v>
      </c>
      <c r="O2715" s="1468"/>
    </row>
    <row r="2716" spans="11:15">
      <c r="K2716" s="1465">
        <v>44773</v>
      </c>
      <c r="L2716" s="1466"/>
      <c r="M2716" s="1467">
        <v>0</v>
      </c>
      <c r="N2716" s="1468">
        <v>1.7981721683923779</v>
      </c>
      <c r="O2716" s="1468"/>
    </row>
    <row r="2717" spans="11:15">
      <c r="K2717" s="1465">
        <v>44774</v>
      </c>
      <c r="L2717" s="1466" t="s">
        <v>2125</v>
      </c>
      <c r="M2717" s="1467">
        <v>4.9036999999999997E-2</v>
      </c>
      <c r="N2717" s="1468">
        <v>1.7990539380785926</v>
      </c>
      <c r="O2717" s="1468"/>
    </row>
    <row r="2718" spans="11:15">
      <c r="K2718" s="1465">
        <v>44775</v>
      </c>
      <c r="L2718" s="1466" t="s">
        <v>2125</v>
      </c>
      <c r="M2718" s="1467">
        <v>4.9036999999999997E-2</v>
      </c>
      <c r="N2718" s="1468">
        <v>1.7999361401582084</v>
      </c>
      <c r="O2718" s="1468"/>
    </row>
    <row r="2719" spans="11:15">
      <c r="K2719" s="1465">
        <v>44776</v>
      </c>
      <c r="L2719" s="1466" t="s">
        <v>2125</v>
      </c>
      <c r="M2719" s="1467">
        <v>4.9036999999999997E-2</v>
      </c>
      <c r="N2719" s="1468">
        <v>1.8008187748432578</v>
      </c>
      <c r="O2719" s="1468"/>
    </row>
    <row r="2720" spans="11:15">
      <c r="K2720" s="1465">
        <v>44777</v>
      </c>
      <c r="L2720" s="1466" t="s">
        <v>2125</v>
      </c>
      <c r="M2720" s="1467">
        <v>5.0788E-2</v>
      </c>
      <c r="N2720" s="1468">
        <v>1.8017333746826252</v>
      </c>
      <c r="O2720" s="1468"/>
    </row>
    <row r="2721" spans="11:15">
      <c r="K2721" s="1465">
        <v>44778</v>
      </c>
      <c r="L2721" s="1466" t="s">
        <v>2125</v>
      </c>
      <c r="M2721" s="1467">
        <v>5.0788E-2</v>
      </c>
      <c r="N2721" s="1468">
        <v>1.802648439028959</v>
      </c>
      <c r="O2721" s="1468"/>
    </row>
    <row r="2722" spans="11:15">
      <c r="K2722" s="1465">
        <v>44779</v>
      </c>
      <c r="L2722" s="1466"/>
      <c r="M2722" s="1467">
        <v>0</v>
      </c>
      <c r="N2722" s="1468">
        <v>1.802648439028959</v>
      </c>
      <c r="O2722" s="1468"/>
    </row>
    <row r="2723" spans="11:15">
      <c r="K2723" s="1465">
        <v>44780</v>
      </c>
      <c r="L2723" s="1466"/>
      <c r="M2723" s="1467">
        <v>0</v>
      </c>
      <c r="N2723" s="1468">
        <v>1.802648439028959</v>
      </c>
      <c r="O2723" s="1468"/>
    </row>
    <row r="2724" spans="11:15">
      <c r="K2724" s="1465">
        <v>44781</v>
      </c>
      <c r="L2724" s="1466" t="s">
        <v>2125</v>
      </c>
      <c r="M2724" s="1467">
        <v>5.0788E-2</v>
      </c>
      <c r="N2724" s="1468">
        <v>1.803563968118173</v>
      </c>
      <c r="O2724" s="1468"/>
    </row>
    <row r="2725" spans="11:15">
      <c r="K2725" s="1465">
        <v>44782</v>
      </c>
      <c r="L2725" s="1466" t="s">
        <v>2125</v>
      </c>
      <c r="M2725" s="1467">
        <v>5.0788E-2</v>
      </c>
      <c r="N2725" s="1468">
        <v>1.8044799621863008</v>
      </c>
      <c r="O2725" s="1468"/>
    </row>
    <row r="2726" spans="11:15">
      <c r="K2726" s="1465">
        <v>44783</v>
      </c>
      <c r="L2726" s="1466" t="s">
        <v>2125</v>
      </c>
      <c r="M2726" s="1467">
        <v>5.0788E-2</v>
      </c>
      <c r="N2726" s="1468">
        <v>1.805396421469496</v>
      </c>
      <c r="O2726" s="1468"/>
    </row>
    <row r="2727" spans="11:15">
      <c r="K2727" s="1465">
        <v>44784</v>
      </c>
      <c r="L2727" s="1466" t="s">
        <v>2125</v>
      </c>
      <c r="M2727" s="1467">
        <v>5.0788E-2</v>
      </c>
      <c r="N2727" s="1468">
        <v>1.8063133462040319</v>
      </c>
      <c r="O2727" s="1468"/>
    </row>
    <row r="2728" spans="11:15">
      <c r="K2728" s="1465">
        <v>44785</v>
      </c>
      <c r="L2728" s="1466" t="s">
        <v>2125</v>
      </c>
      <c r="M2728" s="1467">
        <v>5.0788E-2</v>
      </c>
      <c r="N2728" s="1468">
        <v>1.8072307366263021</v>
      </c>
      <c r="O2728" s="1468"/>
    </row>
    <row r="2729" spans="11:15">
      <c r="K2729" s="1465">
        <v>44786</v>
      </c>
      <c r="L2729" s="1466"/>
      <c r="M2729" s="1467">
        <v>0</v>
      </c>
      <c r="N2729" s="1468">
        <v>1.8072307366263021</v>
      </c>
      <c r="O2729" s="1468"/>
    </row>
    <row r="2730" spans="11:15">
      <c r="K2730" s="1465">
        <v>44787</v>
      </c>
      <c r="L2730" s="1466"/>
      <c r="M2730" s="1467">
        <v>0</v>
      </c>
      <c r="N2730" s="1468">
        <v>1.8072307366263021</v>
      </c>
      <c r="O2730" s="1468"/>
    </row>
    <row r="2731" spans="11:15">
      <c r="K2731" s="1465">
        <v>44788</v>
      </c>
      <c r="L2731" s="1466" t="s">
        <v>2125</v>
      </c>
      <c r="M2731" s="1467">
        <v>5.0788E-2</v>
      </c>
      <c r="N2731" s="1468">
        <v>1.8081485929728198</v>
      </c>
      <c r="O2731" s="1468"/>
    </row>
    <row r="2732" spans="11:15">
      <c r="K2732" s="1465">
        <v>44789</v>
      </c>
      <c r="L2732" s="1466" t="s">
        <v>2125</v>
      </c>
      <c r="M2732" s="1467">
        <v>5.0788E-2</v>
      </c>
      <c r="N2732" s="1468">
        <v>1.8090669154802188</v>
      </c>
      <c r="O2732" s="1468"/>
    </row>
    <row r="2733" spans="11:15">
      <c r="K2733" s="1465">
        <v>44790</v>
      </c>
      <c r="L2733" s="1466" t="s">
        <v>2125</v>
      </c>
      <c r="M2733" s="1467">
        <v>5.0788E-2</v>
      </c>
      <c r="N2733" s="1468">
        <v>1.809985704385253</v>
      </c>
      <c r="O2733" s="1468"/>
    </row>
    <row r="2734" spans="11:15">
      <c r="K2734" s="1465">
        <v>44791</v>
      </c>
      <c r="L2734" s="1466" t="s">
        <v>2125</v>
      </c>
      <c r="M2734" s="1467">
        <v>5.0788E-2</v>
      </c>
      <c r="N2734" s="1468">
        <v>1.8109049599247962</v>
      </c>
      <c r="O2734" s="1468"/>
    </row>
    <row r="2735" spans="11:15">
      <c r="K2735" s="1465">
        <v>44792</v>
      </c>
      <c r="L2735" s="1466" t="s">
        <v>2125</v>
      </c>
      <c r="M2735" s="1467">
        <v>5.0788E-2</v>
      </c>
      <c r="N2735" s="1468">
        <v>1.8118246823358428</v>
      </c>
      <c r="O2735" s="1468"/>
    </row>
    <row r="2736" spans="11:15">
      <c r="K2736" s="1465">
        <v>44793</v>
      </c>
      <c r="L2736" s="1466"/>
      <c r="M2736" s="1467">
        <v>0</v>
      </c>
      <c r="N2736" s="1468">
        <v>1.8118246823358428</v>
      </c>
      <c r="O2736" s="1468"/>
    </row>
    <row r="2737" spans="11:15">
      <c r="K2737" s="1465">
        <v>44794</v>
      </c>
      <c r="L2737" s="1466"/>
      <c r="M2737" s="1467">
        <v>0</v>
      </c>
      <c r="N2737" s="1468">
        <v>1.8118246823358428</v>
      </c>
      <c r="O2737" s="1468"/>
    </row>
    <row r="2738" spans="11:15">
      <c r="K2738" s="1465">
        <v>44795</v>
      </c>
      <c r="L2738" s="1466" t="s">
        <v>2125</v>
      </c>
      <c r="M2738" s="1467">
        <v>5.0788E-2</v>
      </c>
      <c r="N2738" s="1468">
        <v>1.8127448718555075</v>
      </c>
      <c r="O2738" s="1468"/>
    </row>
    <row r="2739" spans="11:15">
      <c r="K2739" s="1465">
        <v>44796</v>
      </c>
      <c r="L2739" s="1466" t="s">
        <v>2125</v>
      </c>
      <c r="M2739" s="1467">
        <v>5.0788E-2</v>
      </c>
      <c r="N2739" s="1468">
        <v>1.8136655287210255</v>
      </c>
      <c r="O2739" s="1468"/>
    </row>
    <row r="2740" spans="11:15">
      <c r="K2740" s="1465">
        <v>44797</v>
      </c>
      <c r="L2740" s="1466" t="s">
        <v>2125</v>
      </c>
      <c r="M2740" s="1467">
        <v>5.0788E-2</v>
      </c>
      <c r="N2740" s="1468">
        <v>1.8145866531697523</v>
      </c>
      <c r="O2740" s="1468"/>
    </row>
    <row r="2741" spans="11:15">
      <c r="K2741" s="1465">
        <v>44798</v>
      </c>
      <c r="L2741" s="1466" t="s">
        <v>2125</v>
      </c>
      <c r="M2741" s="1467">
        <v>5.0788E-2</v>
      </c>
      <c r="N2741" s="1468">
        <v>1.8155082454391642</v>
      </c>
      <c r="O2741" s="1468"/>
    </row>
    <row r="2742" spans="11:15">
      <c r="K2742" s="1465">
        <v>44799</v>
      </c>
      <c r="L2742" s="1466" t="s">
        <v>2125</v>
      </c>
      <c r="M2742" s="1467">
        <v>5.0788E-2</v>
      </c>
      <c r="N2742" s="1468">
        <v>1.8164303057668578</v>
      </c>
      <c r="O2742" s="1468"/>
    </row>
    <row r="2743" spans="11:15">
      <c r="K2743" s="1465">
        <v>44800</v>
      </c>
      <c r="L2743" s="1466"/>
      <c r="M2743" s="1467">
        <v>0</v>
      </c>
      <c r="N2743" s="1468">
        <v>1.8164303057668578</v>
      </c>
      <c r="O2743" s="1468"/>
    </row>
    <row r="2744" spans="11:15">
      <c r="K2744" s="1465">
        <v>44801</v>
      </c>
      <c r="L2744" s="1466"/>
      <c r="M2744" s="1467">
        <v>0</v>
      </c>
      <c r="N2744" s="1468">
        <v>1.8164303057668578</v>
      </c>
      <c r="O2744" s="1468"/>
    </row>
    <row r="2745" spans="11:15">
      <c r="K2745" s="1465">
        <v>44802</v>
      </c>
      <c r="L2745" s="1466" t="s">
        <v>2125</v>
      </c>
      <c r="M2745" s="1467">
        <v>5.0788E-2</v>
      </c>
      <c r="N2745" s="1468">
        <v>1.8173528343905507</v>
      </c>
      <c r="O2745" s="1468"/>
    </row>
    <row r="2746" spans="11:15">
      <c r="K2746" s="1465">
        <v>44803</v>
      </c>
      <c r="L2746" s="1466" t="s">
        <v>2125</v>
      </c>
      <c r="M2746" s="1467">
        <v>5.0788E-2</v>
      </c>
      <c r="N2746" s="1468">
        <v>1.8182758315480809</v>
      </c>
      <c r="O2746" s="1468"/>
    </row>
    <row r="2747" spans="11:15">
      <c r="K2747" s="1465">
        <v>44804</v>
      </c>
      <c r="L2747" s="1466" t="s">
        <v>2125</v>
      </c>
      <c r="M2747" s="1467">
        <v>5.0788E-2</v>
      </c>
      <c r="N2747" s="1468">
        <v>1.8191992974774076</v>
      </c>
      <c r="O2747" s="1468"/>
    </row>
    <row r="2748" spans="11:15">
      <c r="K2748" s="1465">
        <v>44805</v>
      </c>
      <c r="L2748" s="1466" t="s">
        <v>2125</v>
      </c>
      <c r="M2748" s="1467">
        <v>5.0788E-2</v>
      </c>
      <c r="N2748" s="1468">
        <v>1.8201232324166106</v>
      </c>
      <c r="O2748" s="1468"/>
    </row>
    <row r="2749" spans="11:15">
      <c r="K2749" s="1465">
        <v>44806</v>
      </c>
      <c r="L2749" s="1466" t="s">
        <v>2125</v>
      </c>
      <c r="M2749" s="1467">
        <v>5.0788E-2</v>
      </c>
      <c r="N2749" s="1468">
        <v>1.8210476366038904</v>
      </c>
      <c r="O2749" s="1468"/>
    </row>
    <row r="2750" spans="11:15">
      <c r="K2750" s="1465">
        <v>44807</v>
      </c>
      <c r="L2750" s="1466"/>
      <c r="M2750" s="1467">
        <v>0</v>
      </c>
      <c r="N2750" s="1468">
        <v>1.8210476366038904</v>
      </c>
      <c r="O2750" s="1468"/>
    </row>
    <row r="2751" spans="11:15">
      <c r="K2751" s="1465">
        <v>44808</v>
      </c>
      <c r="L2751" s="1466"/>
      <c r="M2751" s="1467">
        <v>0</v>
      </c>
      <c r="N2751" s="1468">
        <v>1.8210476366038904</v>
      </c>
      <c r="O2751" s="1468"/>
    </row>
    <row r="2752" spans="11:15">
      <c r="K2752" s="1465">
        <v>44809</v>
      </c>
      <c r="L2752" s="1466" t="s">
        <v>2125</v>
      </c>
      <c r="M2752" s="1467">
        <v>5.0788E-2</v>
      </c>
      <c r="N2752" s="1468">
        <v>1.8219725102775688</v>
      </c>
      <c r="O2752" s="1468"/>
    </row>
    <row r="2753" spans="11:15">
      <c r="K2753" s="1465">
        <v>44810</v>
      </c>
      <c r="L2753" s="1466" t="s">
        <v>2125</v>
      </c>
      <c r="M2753" s="1467">
        <v>5.0788E-2</v>
      </c>
      <c r="N2753" s="1468">
        <v>1.8228978536760887</v>
      </c>
      <c r="O2753" s="1468"/>
    </row>
    <row r="2754" spans="11:15">
      <c r="K2754" s="1465">
        <v>44811</v>
      </c>
      <c r="L2754" s="1466"/>
      <c r="M2754" s="1467">
        <v>0</v>
      </c>
      <c r="N2754" s="1468">
        <v>1.8228978536760887</v>
      </c>
      <c r="O2754" s="1468"/>
    </row>
    <row r="2755" spans="11:15">
      <c r="K2755" s="1465">
        <v>44812</v>
      </c>
      <c r="L2755" s="1466" t="s">
        <v>2125</v>
      </c>
      <c r="M2755" s="1467">
        <v>5.0788E-2</v>
      </c>
      <c r="N2755" s="1468">
        <v>1.8238236670380137</v>
      </c>
      <c r="O2755" s="1468"/>
    </row>
    <row r="2756" spans="11:15">
      <c r="K2756" s="1465">
        <v>44813</v>
      </c>
      <c r="L2756" s="1466" t="s">
        <v>2125</v>
      </c>
      <c r="M2756" s="1467">
        <v>5.0788E-2</v>
      </c>
      <c r="N2756" s="1468">
        <v>1.824749950602029</v>
      </c>
      <c r="O2756" s="1468"/>
    </row>
    <row r="2757" spans="11:15">
      <c r="K2757" s="1465">
        <v>44814</v>
      </c>
      <c r="L2757" s="1466"/>
      <c r="M2757" s="1467">
        <v>0</v>
      </c>
      <c r="N2757" s="1468">
        <v>1.824749950602029</v>
      </c>
      <c r="O2757" s="1468"/>
    </row>
    <row r="2758" spans="11:15">
      <c r="K2758" s="1465">
        <v>44815</v>
      </c>
      <c r="L2758" s="1466"/>
      <c r="M2758" s="1467">
        <v>0</v>
      </c>
      <c r="N2758" s="1468">
        <v>1.824749950602029</v>
      </c>
      <c r="O2758" s="1468"/>
    </row>
    <row r="2759" spans="11:15">
      <c r="K2759" s="1465">
        <v>44816</v>
      </c>
      <c r="L2759" s="1466" t="s">
        <v>2125</v>
      </c>
      <c r="M2759" s="1467">
        <v>5.0788E-2</v>
      </c>
      <c r="N2759" s="1468">
        <v>1.8256767046069409</v>
      </c>
      <c r="O2759" s="1468"/>
    </row>
    <row r="2760" spans="11:15">
      <c r="K2760" s="1465">
        <v>44817</v>
      </c>
      <c r="L2760" s="1466" t="s">
        <v>2125</v>
      </c>
      <c r="M2760" s="1467">
        <v>5.0788E-2</v>
      </c>
      <c r="N2760" s="1468">
        <v>1.8266039292916767</v>
      </c>
      <c r="O2760" s="1468"/>
    </row>
    <row r="2761" spans="11:15">
      <c r="K2761" s="1465">
        <v>44818</v>
      </c>
      <c r="L2761" s="1466" t="s">
        <v>2125</v>
      </c>
      <c r="M2761" s="1467">
        <v>5.0788E-2</v>
      </c>
      <c r="N2761" s="1468">
        <v>1.8275316248952853</v>
      </c>
      <c r="O2761" s="1468"/>
    </row>
    <row r="2762" spans="11:15">
      <c r="K2762" s="1465">
        <v>44819</v>
      </c>
      <c r="L2762" s="1466" t="s">
        <v>2125</v>
      </c>
      <c r="M2762" s="1467">
        <v>5.0788E-2</v>
      </c>
      <c r="N2762" s="1468">
        <v>1.8284597916569372</v>
      </c>
      <c r="O2762" s="1468"/>
    </row>
    <row r="2763" spans="11:15">
      <c r="K2763" s="1465">
        <v>44820</v>
      </c>
      <c r="L2763" s="1466" t="s">
        <v>2125</v>
      </c>
      <c r="M2763" s="1467">
        <v>5.0788E-2</v>
      </c>
      <c r="N2763" s="1468">
        <v>1.829388429815924</v>
      </c>
      <c r="O2763" s="1468"/>
    </row>
    <row r="2764" spans="11:15">
      <c r="K2764" s="1465">
        <v>44821</v>
      </c>
      <c r="L2764" s="1466"/>
      <c r="M2764" s="1467">
        <v>0</v>
      </c>
      <c r="N2764" s="1468">
        <v>1.829388429815924</v>
      </c>
      <c r="O2764" s="1468"/>
    </row>
    <row r="2765" spans="11:15">
      <c r="K2765" s="1465">
        <v>44822</v>
      </c>
      <c r="L2765" s="1466"/>
      <c r="M2765" s="1467">
        <v>0</v>
      </c>
      <c r="N2765" s="1468">
        <v>1.829388429815924</v>
      </c>
      <c r="O2765" s="1468"/>
    </row>
    <row r="2766" spans="11:15">
      <c r="K2766" s="1465">
        <v>44823</v>
      </c>
      <c r="L2766" s="1466" t="s">
        <v>2125</v>
      </c>
      <c r="M2766" s="1467">
        <v>5.0788E-2</v>
      </c>
      <c r="N2766" s="1468">
        <v>1.8303175396116589</v>
      </c>
      <c r="O2766" s="1468"/>
    </row>
    <row r="2767" spans="11:15">
      <c r="K2767" s="1465">
        <v>44824</v>
      </c>
      <c r="L2767" s="1466" t="s">
        <v>2125</v>
      </c>
      <c r="M2767" s="1467">
        <v>5.0788E-2</v>
      </c>
      <c r="N2767" s="1468">
        <v>1.8312471212836769</v>
      </c>
      <c r="O2767" s="1468"/>
    </row>
    <row r="2768" spans="11:15">
      <c r="K2768" s="1465">
        <v>44825</v>
      </c>
      <c r="L2768" s="1466" t="s">
        <v>2125</v>
      </c>
      <c r="M2768" s="1467">
        <v>5.0788E-2</v>
      </c>
      <c r="N2768" s="1468">
        <v>1.8321771750716345</v>
      </c>
      <c r="O2768" s="1468"/>
    </row>
    <row r="2769" spans="11:15">
      <c r="K2769" s="1465">
        <v>44826</v>
      </c>
      <c r="L2769" s="1466" t="s">
        <v>2125</v>
      </c>
      <c r="M2769" s="1467">
        <v>5.0788E-2</v>
      </c>
      <c r="N2769" s="1468">
        <v>1.8331077012153099</v>
      </c>
      <c r="O2769" s="1468"/>
    </row>
    <row r="2770" spans="11:15">
      <c r="K2770" s="1465">
        <v>44827</v>
      </c>
      <c r="L2770" s="1466" t="s">
        <v>2125</v>
      </c>
      <c r="M2770" s="1467">
        <v>5.0788E-2</v>
      </c>
      <c r="N2770" s="1468">
        <v>1.8340386999546032</v>
      </c>
      <c r="O2770" s="1468"/>
    </row>
    <row r="2771" spans="11:15">
      <c r="K2771" s="1465">
        <v>44828</v>
      </c>
      <c r="L2771" s="1466"/>
      <c r="M2771" s="1467">
        <v>0</v>
      </c>
      <c r="N2771" s="1468">
        <v>1.8340386999546032</v>
      </c>
      <c r="O2771" s="1468"/>
    </row>
    <row r="2772" spans="11:15">
      <c r="K2772" s="1465">
        <v>44829</v>
      </c>
      <c r="L2772" s="1466"/>
      <c r="M2772" s="1467">
        <v>0</v>
      </c>
      <c r="N2772" s="1468">
        <v>1.8340386999546032</v>
      </c>
      <c r="O2772" s="1468"/>
    </row>
    <row r="2773" spans="11:15">
      <c r="K2773" s="1465">
        <v>44830</v>
      </c>
      <c r="L2773" s="1466" t="s">
        <v>2125</v>
      </c>
      <c r="M2773" s="1467">
        <v>5.0788E-2</v>
      </c>
      <c r="N2773" s="1468">
        <v>1.8349701715295361</v>
      </c>
      <c r="O2773" s="1468"/>
    </row>
    <row r="2774" spans="11:15">
      <c r="K2774" s="1465">
        <v>44831</v>
      </c>
      <c r="L2774" s="1466" t="s">
        <v>2125</v>
      </c>
      <c r="M2774" s="1467">
        <v>5.0788E-2</v>
      </c>
      <c r="N2774" s="1468">
        <v>1.8359021161802527</v>
      </c>
      <c r="O2774" s="1468"/>
    </row>
    <row r="2775" spans="11:15">
      <c r="K2775" s="1465">
        <v>44832</v>
      </c>
      <c r="L2775" s="1466" t="s">
        <v>2125</v>
      </c>
      <c r="M2775" s="1467">
        <v>5.0788E-2</v>
      </c>
      <c r="N2775" s="1468">
        <v>1.8368345341470182</v>
      </c>
      <c r="O2775" s="1468"/>
    </row>
    <row r="2776" spans="11:15">
      <c r="K2776" s="1465">
        <v>44833</v>
      </c>
      <c r="L2776" s="1466" t="s">
        <v>2125</v>
      </c>
      <c r="M2776" s="1467">
        <v>5.0788E-2</v>
      </c>
      <c r="N2776" s="1468">
        <v>1.8377674256702208</v>
      </c>
      <c r="O2776" s="1468"/>
    </row>
    <row r="2777" spans="11:15">
      <c r="K2777" s="1465">
        <v>44834</v>
      </c>
      <c r="L2777" s="1466" t="s">
        <v>2125</v>
      </c>
      <c r="M2777" s="1467">
        <v>5.0788E-2</v>
      </c>
      <c r="N2777" s="1468">
        <v>1.8387007909903701</v>
      </c>
      <c r="O2777" s="1468"/>
    </row>
    <row r="2778" spans="11:15">
      <c r="K2778" s="1465">
        <v>44835</v>
      </c>
      <c r="L2778" s="1466"/>
      <c r="M2778" s="1467">
        <v>0</v>
      </c>
      <c r="N2778" s="1468">
        <v>1.8387007909903701</v>
      </c>
      <c r="O2778" s="1468"/>
    </row>
    <row r="2779" spans="11:15">
      <c r="K2779" s="1465">
        <v>44836</v>
      </c>
      <c r="L2779" s="1466"/>
      <c r="M2779" s="1467">
        <v>0</v>
      </c>
      <c r="N2779" s="1468">
        <v>1.8387007909903701</v>
      </c>
      <c r="O2779" s="1468"/>
    </row>
    <row r="2780" spans="11:15">
      <c r="K2780" s="1465">
        <v>44837</v>
      </c>
      <c r="L2780" s="1466" t="s">
        <v>2125</v>
      </c>
      <c r="M2780" s="1467">
        <v>5.0788E-2</v>
      </c>
      <c r="N2780" s="1468">
        <v>1.8396346303480984</v>
      </c>
      <c r="O2780" s="1468"/>
    </row>
    <row r="2781" spans="11:15">
      <c r="K2781" s="1465">
        <v>44838</v>
      </c>
      <c r="L2781" s="1466" t="s">
        <v>2125</v>
      </c>
      <c r="M2781" s="1467">
        <v>5.0788E-2</v>
      </c>
      <c r="N2781" s="1468">
        <v>1.8405689439841595</v>
      </c>
      <c r="O2781" s="1468"/>
    </row>
    <row r="2782" spans="11:15">
      <c r="K2782" s="1465">
        <v>44839</v>
      </c>
      <c r="L2782" s="1466" t="s">
        <v>2125</v>
      </c>
      <c r="M2782" s="1467">
        <v>5.0788E-2</v>
      </c>
      <c r="N2782" s="1468">
        <v>1.8415037321394301</v>
      </c>
      <c r="O2782" s="1468"/>
    </row>
    <row r="2783" spans="11:15">
      <c r="K2783" s="1465">
        <v>44840</v>
      </c>
      <c r="L2783" s="1466" t="s">
        <v>2125</v>
      </c>
      <c r="M2783" s="1467">
        <v>5.0788E-2</v>
      </c>
      <c r="N2783" s="1468">
        <v>1.8424389950549092</v>
      </c>
      <c r="O2783" s="1468"/>
    </row>
    <row r="2784" spans="11:15">
      <c r="K2784" s="1465">
        <v>44841</v>
      </c>
      <c r="L2784" s="1466" t="s">
        <v>2125</v>
      </c>
      <c r="M2784" s="1467">
        <v>5.0788E-2</v>
      </c>
      <c r="N2784" s="1468">
        <v>1.8433747329717176</v>
      </c>
      <c r="O2784" s="1468"/>
    </row>
    <row r="2785" spans="11:15">
      <c r="K2785" s="1465">
        <v>44842</v>
      </c>
      <c r="L2785" s="1466"/>
      <c r="M2785" s="1467">
        <v>0</v>
      </c>
      <c r="N2785" s="1468">
        <v>1.8433747329717176</v>
      </c>
      <c r="O2785" s="1468"/>
    </row>
    <row r="2786" spans="11:15">
      <c r="K2786" s="1465">
        <v>44843</v>
      </c>
      <c r="L2786" s="1466"/>
      <c r="M2786" s="1467">
        <v>0</v>
      </c>
      <c r="N2786" s="1468">
        <v>1.8433747329717176</v>
      </c>
      <c r="O2786" s="1468"/>
    </row>
    <row r="2787" spans="11:15">
      <c r="K2787" s="1465">
        <v>44844</v>
      </c>
      <c r="L2787" s="1466" t="s">
        <v>2125</v>
      </c>
      <c r="M2787" s="1467">
        <v>5.0788E-2</v>
      </c>
      <c r="N2787" s="1468">
        <v>1.8443109461310994</v>
      </c>
      <c r="O2787" s="1468"/>
    </row>
    <row r="2788" spans="11:15">
      <c r="K2788" s="1465">
        <v>44845</v>
      </c>
      <c r="L2788" s="1466" t="s">
        <v>2125</v>
      </c>
      <c r="M2788" s="1467">
        <v>5.0788E-2</v>
      </c>
      <c r="N2788" s="1468">
        <v>1.8452476347744204</v>
      </c>
      <c r="O2788" s="1468"/>
    </row>
    <row r="2789" spans="11:15">
      <c r="K2789" s="1465">
        <v>44846</v>
      </c>
      <c r="L2789" s="1466"/>
      <c r="M2789" s="1467">
        <v>0</v>
      </c>
      <c r="N2789" s="1468">
        <v>1.8452476347744204</v>
      </c>
      <c r="O2789" s="1468"/>
    </row>
    <row r="2790" spans="11:15">
      <c r="K2790" s="1465">
        <v>44847</v>
      </c>
      <c r="L2790" s="1466" t="s">
        <v>2125</v>
      </c>
      <c r="M2790" s="1467">
        <v>5.0788E-2</v>
      </c>
      <c r="N2790" s="1468">
        <v>1.8461847991431697</v>
      </c>
      <c r="O2790" s="1468"/>
    </row>
    <row r="2791" spans="11:15">
      <c r="K2791" s="1465">
        <v>44848</v>
      </c>
      <c r="L2791" s="1466" t="s">
        <v>2125</v>
      </c>
      <c r="M2791" s="1467">
        <v>5.0788E-2</v>
      </c>
      <c r="N2791" s="1468">
        <v>1.8471224394789585</v>
      </c>
      <c r="O2791" s="1468"/>
    </row>
    <row r="2792" spans="11:15">
      <c r="K2792" s="1465">
        <v>44849</v>
      </c>
      <c r="L2792" s="1466"/>
      <c r="M2792" s="1467">
        <v>0</v>
      </c>
      <c r="N2792" s="1468">
        <v>1.8471224394789585</v>
      </c>
      <c r="O2792" s="1468"/>
    </row>
    <row r="2793" spans="11:15">
      <c r="K2793" s="1465">
        <v>44850</v>
      </c>
      <c r="L2793" s="1466"/>
      <c r="M2793" s="1467">
        <v>0</v>
      </c>
      <c r="N2793" s="1468">
        <v>1.8471224394789585</v>
      </c>
      <c r="O2793" s="1468"/>
    </row>
    <row r="2794" spans="11:15">
      <c r="K2794" s="1465">
        <v>44851</v>
      </c>
      <c r="L2794" s="1466" t="s">
        <v>2125</v>
      </c>
      <c r="M2794" s="1467">
        <v>5.0788E-2</v>
      </c>
      <c r="N2794" s="1468">
        <v>1.848060556023521</v>
      </c>
      <c r="O2794" s="1468"/>
    </row>
    <row r="2795" spans="11:15">
      <c r="K2795" s="1465">
        <v>44852</v>
      </c>
      <c r="L2795" s="1466" t="s">
        <v>2125</v>
      </c>
      <c r="M2795" s="1467">
        <v>5.0788E-2</v>
      </c>
      <c r="N2795" s="1468">
        <v>1.8489991490187143</v>
      </c>
      <c r="O2795" s="1468"/>
    </row>
    <row r="2796" spans="11:15">
      <c r="K2796" s="1465">
        <v>44853</v>
      </c>
      <c r="L2796" s="1466" t="s">
        <v>2125</v>
      </c>
      <c r="M2796" s="1467">
        <v>5.0788E-2</v>
      </c>
      <c r="N2796" s="1468">
        <v>1.8499382187065179</v>
      </c>
      <c r="O2796" s="1468"/>
    </row>
    <row r="2797" spans="11:15">
      <c r="K2797" s="1465">
        <v>44854</v>
      </c>
      <c r="L2797" s="1466" t="s">
        <v>2125</v>
      </c>
      <c r="M2797" s="1467">
        <v>5.0788E-2</v>
      </c>
      <c r="N2797" s="1468">
        <v>1.8508777653290345</v>
      </c>
      <c r="O2797" s="1468"/>
    </row>
    <row r="2798" spans="11:15">
      <c r="K2798" s="1465">
        <v>44855</v>
      </c>
      <c r="L2798" s="1466" t="s">
        <v>2125</v>
      </c>
      <c r="M2798" s="1467">
        <v>5.0788E-2</v>
      </c>
      <c r="N2798" s="1468">
        <v>1.8518177891284897</v>
      </c>
      <c r="O2798" s="1468"/>
    </row>
    <row r="2799" spans="11:15">
      <c r="K2799" s="1465">
        <v>44856</v>
      </c>
      <c r="L2799" s="1466"/>
      <c r="M2799" s="1467">
        <v>0</v>
      </c>
      <c r="N2799" s="1468">
        <v>1.8518177891284897</v>
      </c>
      <c r="O2799" s="1468"/>
    </row>
    <row r="2800" spans="11:15">
      <c r="K2800" s="1465">
        <v>44857</v>
      </c>
      <c r="L2800" s="1466"/>
      <c r="M2800" s="1467">
        <v>0</v>
      </c>
      <c r="N2800" s="1468">
        <v>1.8518177891284897</v>
      </c>
      <c r="O2800" s="1468"/>
    </row>
    <row r="2801" spans="11:15">
      <c r="K2801" s="1465">
        <v>44858</v>
      </c>
      <c r="L2801" s="1466" t="s">
        <v>2125</v>
      </c>
      <c r="M2801" s="1467">
        <v>5.0788E-2</v>
      </c>
      <c r="N2801" s="1468">
        <v>1.8527582903472324</v>
      </c>
      <c r="O2801" s="1468"/>
    </row>
    <row r="2802" spans="11:15">
      <c r="K2802" s="1465">
        <v>44859</v>
      </c>
      <c r="L2802" s="1466" t="s">
        <v>2125</v>
      </c>
      <c r="M2802" s="1467">
        <v>5.0788E-2</v>
      </c>
      <c r="N2802" s="1468">
        <v>1.8536992692277339</v>
      </c>
      <c r="O2802" s="1468"/>
    </row>
    <row r="2803" spans="11:15">
      <c r="K2803" s="1465">
        <v>44860</v>
      </c>
      <c r="L2803" s="1466" t="s">
        <v>2125</v>
      </c>
      <c r="M2803" s="1467">
        <v>5.0788E-2</v>
      </c>
      <c r="N2803" s="1468">
        <v>1.8546407260125892</v>
      </c>
      <c r="O2803" s="1468"/>
    </row>
    <row r="2804" spans="11:15">
      <c r="K2804" s="1465">
        <v>44861</v>
      </c>
      <c r="L2804" s="1466" t="s">
        <v>2125</v>
      </c>
      <c r="M2804" s="1467">
        <v>5.0788E-2</v>
      </c>
      <c r="N2804" s="1468">
        <v>1.8555826609445165</v>
      </c>
      <c r="O2804" s="1468"/>
    </row>
    <row r="2805" spans="11:15">
      <c r="K2805" s="1465">
        <v>44862</v>
      </c>
      <c r="L2805" s="1466" t="s">
        <v>2125</v>
      </c>
      <c r="M2805" s="1467">
        <v>5.0788E-2</v>
      </c>
      <c r="N2805" s="1468">
        <v>1.856525074266357</v>
      </c>
      <c r="O2805" s="1468"/>
    </row>
    <row r="2806" spans="11:15">
      <c r="K2806" s="1465">
        <v>44863</v>
      </c>
      <c r="L2806" s="1466"/>
      <c r="M2806" s="1467">
        <v>0</v>
      </c>
      <c r="N2806" s="1468">
        <v>1.856525074266357</v>
      </c>
      <c r="O2806" s="1468"/>
    </row>
    <row r="2807" spans="11:15">
      <c r="K2807" s="1465">
        <v>44864</v>
      </c>
      <c r="L2807" s="1466"/>
      <c r="M2807" s="1467">
        <v>0</v>
      </c>
      <c r="N2807" s="1468">
        <v>1.856525074266357</v>
      </c>
      <c r="O2807" s="1468"/>
    </row>
    <row r="2808" spans="11:15">
      <c r="K2808" s="1465">
        <v>44865</v>
      </c>
      <c r="L2808" s="1466" t="s">
        <v>2125</v>
      </c>
      <c r="M2808" s="1467">
        <v>5.0788E-2</v>
      </c>
      <c r="N2808" s="1468">
        <v>1.8574679662210756</v>
      </c>
      <c r="O2808" s="1468"/>
    </row>
    <row r="2809" spans="11:15">
      <c r="K2809" s="1465">
        <v>44866</v>
      </c>
      <c r="L2809" s="1466" t="s">
        <v>2125</v>
      </c>
      <c r="M2809" s="1467">
        <v>5.0788E-2</v>
      </c>
      <c r="N2809" s="1468">
        <v>1.8584113370517599</v>
      </c>
      <c r="O2809" s="1468"/>
    </row>
    <row r="2810" spans="11:15">
      <c r="K2810" s="1465">
        <v>44867</v>
      </c>
      <c r="L2810" s="1466"/>
      <c r="M2810" s="1467">
        <v>0</v>
      </c>
      <c r="N2810" s="1468">
        <v>1.8584113370517599</v>
      </c>
      <c r="O2810" s="1468"/>
    </row>
    <row r="2811" spans="11:15">
      <c r="K2811" s="1465">
        <v>44868</v>
      </c>
      <c r="L2811" s="1466" t="s">
        <v>2125</v>
      </c>
      <c r="M2811" s="1467">
        <v>5.0788E-2</v>
      </c>
      <c r="N2811" s="1468">
        <v>1.8593551870016218</v>
      </c>
      <c r="O2811" s="1468"/>
    </row>
    <row r="2812" spans="11:15">
      <c r="K2812" s="1465">
        <v>44869</v>
      </c>
      <c r="L2812" s="1466" t="s">
        <v>2125</v>
      </c>
      <c r="M2812" s="1467">
        <v>5.0788E-2</v>
      </c>
      <c r="N2812" s="1468">
        <v>1.8602995163139961</v>
      </c>
      <c r="O2812" s="1468"/>
    </row>
    <row r="2813" spans="11:15">
      <c r="K2813" s="1465">
        <v>44870</v>
      </c>
      <c r="L2813" s="1466"/>
      <c r="M2813" s="1467">
        <v>0</v>
      </c>
      <c r="N2813" s="1468">
        <v>1.8602995163139961</v>
      </c>
      <c r="O2813" s="1468"/>
    </row>
    <row r="2814" spans="11:15">
      <c r="K2814" s="1465">
        <v>44871</v>
      </c>
      <c r="L2814" s="1466"/>
      <c r="M2814" s="1467">
        <v>0</v>
      </c>
      <c r="N2814" s="1468">
        <v>1.8602995163139961</v>
      </c>
      <c r="O2814" s="1468"/>
    </row>
    <row r="2815" spans="11:15">
      <c r="K2815" s="1465">
        <v>44872</v>
      </c>
      <c r="L2815" s="1466" t="s">
        <v>2125</v>
      </c>
      <c r="M2815" s="1467">
        <v>5.0788E-2</v>
      </c>
      <c r="N2815" s="1468">
        <v>1.8612443252323416</v>
      </c>
      <c r="O2815" s="1468"/>
    </row>
    <row r="2816" spans="11:15">
      <c r="K2816" s="1465">
        <v>44873</v>
      </c>
      <c r="L2816" s="1466" t="s">
        <v>2125</v>
      </c>
      <c r="M2816" s="1467">
        <v>5.0788E-2</v>
      </c>
      <c r="N2816" s="1468">
        <v>1.8621896140002407</v>
      </c>
      <c r="O2816" s="1468"/>
    </row>
    <row r="2817" spans="11:15">
      <c r="K2817" s="1465">
        <v>44874</v>
      </c>
      <c r="L2817" s="1466" t="s">
        <v>2125</v>
      </c>
      <c r="M2817" s="1467">
        <v>5.0788E-2</v>
      </c>
      <c r="N2817" s="1468">
        <v>1.8631353828613992</v>
      </c>
      <c r="O2817" s="1468"/>
    </row>
    <row r="2818" spans="11:15">
      <c r="K2818" s="1465">
        <v>44875</v>
      </c>
      <c r="L2818" s="1466" t="s">
        <v>2125</v>
      </c>
      <c r="M2818" s="1467">
        <v>5.0788E-2</v>
      </c>
      <c r="N2818" s="1468">
        <v>1.8640816320596469</v>
      </c>
      <c r="O2818" s="1468"/>
    </row>
    <row r="2819" spans="11:15">
      <c r="K2819" s="1465">
        <v>44876</v>
      </c>
      <c r="L2819" s="1466" t="s">
        <v>2125</v>
      </c>
      <c r="M2819" s="1467">
        <v>5.0788E-2</v>
      </c>
      <c r="N2819" s="1468">
        <v>1.8650283618389374</v>
      </c>
      <c r="O2819" s="1468"/>
    </row>
    <row r="2820" spans="11:15">
      <c r="K2820" s="1465">
        <v>44877</v>
      </c>
      <c r="L2820" s="1466"/>
      <c r="M2820" s="1467">
        <v>0</v>
      </c>
      <c r="N2820" s="1468">
        <v>1.8650283618389374</v>
      </c>
      <c r="O2820" s="1468"/>
    </row>
    <row r="2821" spans="11:15">
      <c r="K2821" s="1465">
        <v>44878</v>
      </c>
      <c r="L2821" s="1466"/>
      <c r="M2821" s="1467">
        <v>0</v>
      </c>
      <c r="N2821" s="1468">
        <v>1.8650283618389374</v>
      </c>
      <c r="O2821" s="1468"/>
    </row>
    <row r="2822" spans="11:15">
      <c r="K2822" s="1465">
        <v>44879</v>
      </c>
      <c r="L2822" s="1466" t="s">
        <v>2125</v>
      </c>
      <c r="M2822" s="1467">
        <v>5.0788E-2</v>
      </c>
      <c r="N2822" s="1468">
        <v>1.8659755724433482</v>
      </c>
      <c r="O2822" s="1468"/>
    </row>
    <row r="2823" spans="11:15">
      <c r="K2823" s="1465">
        <v>44880</v>
      </c>
      <c r="L2823" s="1466"/>
      <c r="M2823" s="1467">
        <v>0</v>
      </c>
      <c r="N2823" s="1468">
        <v>1.8659755724433482</v>
      </c>
      <c r="O2823" s="1468"/>
    </row>
    <row r="2824" spans="11:15">
      <c r="K2824" s="1465">
        <v>44881</v>
      </c>
      <c r="L2824" s="1466" t="s">
        <v>2125</v>
      </c>
      <c r="M2824" s="1467">
        <v>5.0788E-2</v>
      </c>
      <c r="N2824" s="1468">
        <v>1.8669232641170808</v>
      </c>
      <c r="O2824" s="1468"/>
    </row>
    <row r="2825" spans="11:15">
      <c r="K2825" s="1465">
        <v>44882</v>
      </c>
      <c r="L2825" s="1466" t="s">
        <v>2125</v>
      </c>
      <c r="M2825" s="1467">
        <v>5.0788E-2</v>
      </c>
      <c r="N2825" s="1468">
        <v>1.8678714371044605</v>
      </c>
      <c r="O2825" s="1468"/>
    </row>
    <row r="2826" spans="11:15">
      <c r="K2826" s="1465">
        <v>44883</v>
      </c>
      <c r="L2826" s="1466" t="s">
        <v>2125</v>
      </c>
      <c r="M2826" s="1467">
        <v>5.0788E-2</v>
      </c>
      <c r="N2826" s="1468">
        <v>1.8688200916499371</v>
      </c>
      <c r="O2826" s="1468"/>
    </row>
    <row r="2827" spans="11:15">
      <c r="K2827" s="1465">
        <v>44884</v>
      </c>
      <c r="L2827" s="1466"/>
      <c r="M2827" s="1467">
        <v>0</v>
      </c>
      <c r="N2827" s="1468">
        <v>1.8688200916499371</v>
      </c>
      <c r="O2827" s="1468"/>
    </row>
    <row r="2828" spans="11:15">
      <c r="K2828" s="1465">
        <v>44885</v>
      </c>
      <c r="L2828" s="1466"/>
      <c r="M2828" s="1467">
        <v>0</v>
      </c>
      <c r="N2828" s="1468">
        <v>1.8688200916499371</v>
      </c>
      <c r="O2828" s="1468"/>
    </row>
    <row r="2829" spans="11:15">
      <c r="K2829" s="1465">
        <v>44886</v>
      </c>
      <c r="L2829" s="1466" t="s">
        <v>2125</v>
      </c>
      <c r="M2829" s="1467">
        <v>5.0788E-2</v>
      </c>
      <c r="N2829" s="1468">
        <v>1.8697692279980844</v>
      </c>
      <c r="O2829" s="1468"/>
    </row>
    <row r="2830" spans="11:15">
      <c r="K2830" s="1465">
        <v>44887</v>
      </c>
      <c r="L2830" s="1466" t="s">
        <v>2125</v>
      </c>
      <c r="M2830" s="1467">
        <v>5.0788E-2</v>
      </c>
      <c r="N2830" s="1468">
        <v>1.8707188463936002</v>
      </c>
      <c r="O2830" s="1468"/>
    </row>
    <row r="2831" spans="11:15">
      <c r="K2831" s="1465">
        <v>44888</v>
      </c>
      <c r="L2831" s="1466" t="s">
        <v>2125</v>
      </c>
      <c r="M2831" s="1467">
        <v>5.0788E-2</v>
      </c>
      <c r="N2831" s="1468">
        <v>1.8716689470813066</v>
      </c>
      <c r="O2831" s="1468"/>
    </row>
    <row r="2832" spans="11:15">
      <c r="K2832" s="1465">
        <v>44889</v>
      </c>
      <c r="L2832" s="1466" t="s">
        <v>2125</v>
      </c>
      <c r="M2832" s="1467">
        <v>5.0788E-2</v>
      </c>
      <c r="N2832" s="1468">
        <v>1.8726195303061504</v>
      </c>
      <c r="O2832" s="1468"/>
    </row>
    <row r="2833" spans="11:15">
      <c r="K2833" s="1465">
        <v>44890</v>
      </c>
      <c r="L2833" s="1466" t="s">
        <v>2125</v>
      </c>
      <c r="M2833" s="1467">
        <v>5.0788E-2</v>
      </c>
      <c r="N2833" s="1468">
        <v>1.8735705963132023</v>
      </c>
      <c r="O2833" s="1468"/>
    </row>
    <row r="2834" spans="11:15">
      <c r="K2834" s="1465">
        <v>44891</v>
      </c>
      <c r="L2834" s="1466"/>
      <c r="M2834" s="1467">
        <v>0</v>
      </c>
      <c r="N2834" s="1468">
        <v>1.8735705963132023</v>
      </c>
      <c r="O2834" s="1468"/>
    </row>
    <row r="2835" spans="11:15">
      <c r="K2835" s="1465">
        <v>44892</v>
      </c>
      <c r="L2835" s="1466"/>
      <c r="M2835" s="1467">
        <v>0</v>
      </c>
      <c r="N2835" s="1468">
        <v>1.8735705963132023</v>
      </c>
      <c r="O2835" s="1468"/>
    </row>
    <row r="2836" spans="11:15">
      <c r="K2836" s="1465">
        <v>44893</v>
      </c>
      <c r="L2836" s="1466" t="s">
        <v>2125</v>
      </c>
      <c r="M2836" s="1467">
        <v>5.0788E-2</v>
      </c>
      <c r="N2836" s="1468">
        <v>1.8745221453476579</v>
      </c>
      <c r="O2836" s="1468"/>
    </row>
    <row r="2837" spans="11:15">
      <c r="K2837" s="1465">
        <v>44894</v>
      </c>
      <c r="L2837" s="1466" t="s">
        <v>2125</v>
      </c>
      <c r="M2837" s="1467">
        <v>5.0788E-2</v>
      </c>
      <c r="N2837" s="1468">
        <v>1.8754741776548371</v>
      </c>
      <c r="O2837" s="1468"/>
    </row>
    <row r="2838" spans="11:15">
      <c r="K2838" s="1465">
        <v>44895</v>
      </c>
      <c r="L2838" s="1466" t="s">
        <v>2125</v>
      </c>
      <c r="M2838" s="1467">
        <v>5.0788E-2</v>
      </c>
      <c r="N2838" s="1468">
        <v>1.8764266934801845</v>
      </c>
      <c r="O2838" s="1468"/>
    </row>
    <row r="2839" spans="11:15">
      <c r="K2839" s="1465">
        <v>44896</v>
      </c>
      <c r="L2839" s="1466" t="s">
        <v>2125</v>
      </c>
      <c r="M2839" s="1467">
        <v>5.0788E-2</v>
      </c>
      <c r="N2839" s="1468">
        <v>1.8773796930692692</v>
      </c>
      <c r="O2839" s="1468"/>
    </row>
    <row r="2840" spans="11:15">
      <c r="K2840" s="1465">
        <v>44897</v>
      </c>
      <c r="L2840" s="1466" t="s">
        <v>2125</v>
      </c>
      <c r="M2840" s="1467">
        <v>5.0788E-2</v>
      </c>
      <c r="N2840" s="1468">
        <v>1.8783331766677853</v>
      </c>
      <c r="O2840" s="1468"/>
    </row>
    <row r="2841" spans="11:15">
      <c r="K2841" s="1465">
        <v>44898</v>
      </c>
      <c r="L2841" s="1466"/>
      <c r="M2841" s="1467">
        <v>0</v>
      </c>
      <c r="N2841" s="1468">
        <v>1.8783331766677853</v>
      </c>
      <c r="O2841" s="1468"/>
    </row>
    <row r="2842" spans="11:15">
      <c r="K2842" s="1465">
        <v>44899</v>
      </c>
      <c r="L2842" s="1466"/>
      <c r="M2842" s="1467">
        <v>0</v>
      </c>
      <c r="N2842" s="1468">
        <v>1.8783331766677853</v>
      </c>
      <c r="O2842" s="1468"/>
    </row>
    <row r="2843" spans="11:15">
      <c r="K2843" s="1465">
        <v>44900</v>
      </c>
      <c r="L2843" s="1466" t="s">
        <v>2125</v>
      </c>
      <c r="M2843" s="1467">
        <v>5.0788E-2</v>
      </c>
      <c r="N2843" s="1468">
        <v>1.8792871445215513</v>
      </c>
      <c r="O2843" s="1468"/>
    </row>
    <row r="2844" spans="11:15">
      <c r="K2844" s="1465">
        <v>44901</v>
      </c>
      <c r="L2844" s="1466" t="s">
        <v>2125</v>
      </c>
      <c r="M2844" s="1467">
        <v>5.0788E-2</v>
      </c>
      <c r="N2844" s="1468">
        <v>1.8802415968765109</v>
      </c>
      <c r="O2844" s="1468"/>
    </row>
    <row r="2845" spans="11:15">
      <c r="K2845" s="1465">
        <v>44902</v>
      </c>
      <c r="L2845" s="1466" t="s">
        <v>2125</v>
      </c>
      <c r="M2845" s="1467">
        <v>5.0788E-2</v>
      </c>
      <c r="N2845" s="1468">
        <v>1.8811965339787327</v>
      </c>
      <c r="O2845" s="1468"/>
    </row>
    <row r="2846" spans="11:15">
      <c r="K2846" s="1465">
        <v>44903</v>
      </c>
      <c r="L2846" s="1466" t="s">
        <v>2125</v>
      </c>
      <c r="M2846" s="1467">
        <v>5.0788E-2</v>
      </c>
      <c r="N2846" s="1468">
        <v>1.8821519560744098</v>
      </c>
      <c r="O2846" s="1468"/>
    </row>
    <row r="2847" spans="11:15">
      <c r="K2847" s="1465">
        <v>44904</v>
      </c>
      <c r="L2847" s="1466" t="s">
        <v>2125</v>
      </c>
      <c r="M2847" s="1467">
        <v>5.0788E-2</v>
      </c>
      <c r="N2847" s="1468">
        <v>1.8831078634098608</v>
      </c>
      <c r="O2847" s="1468"/>
    </row>
    <row r="2848" spans="11:15">
      <c r="K2848" s="1465">
        <v>44905</v>
      </c>
      <c r="L2848" s="1466"/>
      <c r="M2848" s="1467">
        <v>0</v>
      </c>
      <c r="N2848" s="1468">
        <v>1.8831078634098608</v>
      </c>
      <c r="O2848" s="1468"/>
    </row>
    <row r="2849" spans="11:15">
      <c r="K2849" s="1465">
        <v>44906</v>
      </c>
      <c r="L2849" s="1466"/>
      <c r="M2849" s="1467">
        <v>0</v>
      </c>
      <c r="N2849" s="1468">
        <v>1.8831078634098608</v>
      </c>
      <c r="O2849" s="1468"/>
    </row>
    <row r="2850" spans="11:15">
      <c r="K2850" s="1465">
        <v>44907</v>
      </c>
      <c r="L2850" s="1466" t="s">
        <v>2125</v>
      </c>
      <c r="M2850" s="1467">
        <v>5.0788E-2</v>
      </c>
      <c r="N2850" s="1468">
        <v>1.8840642562315295</v>
      </c>
      <c r="O2850" s="1468"/>
    </row>
    <row r="2851" spans="11:15">
      <c r="K2851" s="1465">
        <v>44908</v>
      </c>
      <c r="L2851" s="1466" t="s">
        <v>2125</v>
      </c>
      <c r="M2851" s="1467">
        <v>5.0788E-2</v>
      </c>
      <c r="N2851" s="1468">
        <v>1.8850211347859844</v>
      </c>
      <c r="O2851" s="1468"/>
    </row>
    <row r="2852" spans="11:15">
      <c r="K2852" s="1465">
        <v>44909</v>
      </c>
      <c r="L2852" s="1466" t="s">
        <v>2125</v>
      </c>
      <c r="M2852" s="1467">
        <v>5.0788E-2</v>
      </c>
      <c r="N2852" s="1468">
        <v>1.8859784993199196</v>
      </c>
      <c r="O2852" s="1468"/>
    </row>
    <row r="2853" spans="11:15">
      <c r="K2853" s="1465">
        <v>44910</v>
      </c>
      <c r="L2853" s="1466" t="s">
        <v>2125</v>
      </c>
      <c r="M2853" s="1467">
        <v>5.0788E-2</v>
      </c>
      <c r="N2853" s="1468">
        <v>1.8869363500801541</v>
      </c>
      <c r="O2853" s="1468"/>
    </row>
    <row r="2854" spans="11:15">
      <c r="K2854" s="1465">
        <v>44911</v>
      </c>
      <c r="L2854" s="1466" t="s">
        <v>2125</v>
      </c>
      <c r="M2854" s="1467">
        <v>5.0788E-2</v>
      </c>
      <c r="N2854" s="1468">
        <v>1.8878946873136329</v>
      </c>
      <c r="O2854" s="1468"/>
    </row>
    <row r="2855" spans="11:15">
      <c r="K2855" s="1465">
        <v>44912</v>
      </c>
      <c r="L2855" s="1466"/>
      <c r="M2855" s="1467">
        <v>0</v>
      </c>
      <c r="N2855" s="1468">
        <v>1.8878946873136329</v>
      </c>
      <c r="O2855" s="1468"/>
    </row>
    <row r="2856" spans="11:15">
      <c r="K2856" s="1465">
        <v>44913</v>
      </c>
      <c r="L2856" s="1466"/>
      <c r="M2856" s="1467">
        <v>0</v>
      </c>
      <c r="N2856" s="1468">
        <v>1.8878946873136329</v>
      </c>
      <c r="O2856" s="1468"/>
    </row>
    <row r="2857" spans="11:15">
      <c r="K2857" s="1465">
        <v>44914</v>
      </c>
      <c r="L2857" s="1466" t="s">
        <v>2125</v>
      </c>
      <c r="M2857" s="1467">
        <v>5.0788E-2</v>
      </c>
      <c r="N2857" s="1468">
        <v>1.8888535112674258</v>
      </c>
      <c r="O2857" s="1468"/>
    </row>
    <row r="2858" spans="11:15">
      <c r="K2858" s="1465">
        <v>44915</v>
      </c>
      <c r="L2858" s="1466" t="s">
        <v>2125</v>
      </c>
      <c r="M2858" s="1467">
        <v>5.0788E-2</v>
      </c>
      <c r="N2858" s="1468">
        <v>1.8898128221887285</v>
      </c>
      <c r="O2858" s="1468"/>
    </row>
    <row r="2859" spans="11:15">
      <c r="K2859" s="1465">
        <v>44916</v>
      </c>
      <c r="L2859" s="1466" t="s">
        <v>2125</v>
      </c>
      <c r="M2859" s="1467">
        <v>5.0788E-2</v>
      </c>
      <c r="N2859" s="1468">
        <v>1.8907726203248618</v>
      </c>
      <c r="O2859" s="1468"/>
    </row>
    <row r="2860" spans="11:15">
      <c r="K2860" s="1465">
        <v>44917</v>
      </c>
      <c r="L2860" s="1466" t="s">
        <v>2125</v>
      </c>
      <c r="M2860" s="1467">
        <v>5.0788E-2</v>
      </c>
      <c r="N2860" s="1468">
        <v>1.8917329059232724</v>
      </c>
      <c r="O2860" s="1468"/>
    </row>
    <row r="2861" spans="11:15">
      <c r="K2861" s="1465">
        <v>44918</v>
      </c>
      <c r="L2861" s="1466" t="s">
        <v>2125</v>
      </c>
      <c r="M2861" s="1467">
        <v>5.0788E-2</v>
      </c>
      <c r="N2861" s="1468">
        <v>1.8926936792315328</v>
      </c>
      <c r="O2861" s="1468"/>
    </row>
    <row r="2862" spans="11:15">
      <c r="K2862" s="1465">
        <v>44919</v>
      </c>
      <c r="L2862" s="1466"/>
      <c r="M2862" s="1467">
        <v>0</v>
      </c>
      <c r="N2862" s="1468">
        <v>1.8926936792315328</v>
      </c>
      <c r="O2862" s="1468"/>
    </row>
    <row r="2863" spans="11:15">
      <c r="K2863" s="1465">
        <v>44920</v>
      </c>
      <c r="L2863" s="1466"/>
      <c r="M2863" s="1467">
        <v>0</v>
      </c>
      <c r="N2863" s="1468">
        <v>1.8926936792315328</v>
      </c>
      <c r="O2863" s="1468"/>
    </row>
    <row r="2864" spans="11:15">
      <c r="K2864" s="1465">
        <v>44921</v>
      </c>
      <c r="L2864" s="1466" t="s">
        <v>2125</v>
      </c>
      <c r="M2864" s="1467">
        <v>5.0788E-2</v>
      </c>
      <c r="N2864" s="1468">
        <v>1.8936549404973408</v>
      </c>
      <c r="O2864" s="1468"/>
    </row>
    <row r="2865" spans="11:15">
      <c r="K2865" s="1465">
        <v>44922</v>
      </c>
      <c r="L2865" s="1466" t="s">
        <v>2125</v>
      </c>
      <c r="M2865" s="1467">
        <v>5.0788E-2</v>
      </c>
      <c r="N2865" s="1468">
        <v>1.8946166899685206</v>
      </c>
      <c r="O2865" s="1468"/>
    </row>
    <row r="2866" spans="11:15">
      <c r="K2866" s="1465">
        <v>44923</v>
      </c>
      <c r="L2866" s="1466" t="s">
        <v>2125</v>
      </c>
      <c r="M2866" s="1467">
        <v>5.0788E-2</v>
      </c>
      <c r="N2866" s="1468">
        <v>1.895578927893022</v>
      </c>
      <c r="O2866" s="1468"/>
    </row>
    <row r="2867" spans="11:15">
      <c r="K2867" s="1465">
        <v>44924</v>
      </c>
      <c r="L2867" s="1466" t="s">
        <v>2125</v>
      </c>
      <c r="M2867" s="1467">
        <v>5.0788E-2</v>
      </c>
      <c r="N2867" s="1468">
        <v>1.8965416545189202</v>
      </c>
      <c r="O2867" s="1468"/>
    </row>
    <row r="2868" spans="11:15">
      <c r="K2868" s="1465">
        <v>44925</v>
      </c>
      <c r="L2868" s="1466" t="s">
        <v>2125</v>
      </c>
      <c r="M2868" s="1467">
        <v>5.0788E-2</v>
      </c>
      <c r="N2868" s="1468">
        <v>1.8975048700944173</v>
      </c>
      <c r="O2868" s="1468"/>
    </row>
    <row r="2869" spans="11:15">
      <c r="K2869" s="1465">
        <v>44926</v>
      </c>
      <c r="L2869" s="1466"/>
      <c r="M2869" s="1467">
        <v>0</v>
      </c>
      <c r="N2869" s="1468">
        <v>1.8975048700944173</v>
      </c>
      <c r="O2869" s="1468"/>
    </row>
    <row r="2870" spans="11:15">
      <c r="K2870" s="1465">
        <v>44927</v>
      </c>
      <c r="L2870" s="1466"/>
      <c r="M2870" s="1467">
        <v>0</v>
      </c>
      <c r="N2870" s="1468">
        <v>1.8975048700944173</v>
      </c>
      <c r="O2870" s="1468"/>
    </row>
    <row r="2871" spans="11:15">
      <c r="K2871" s="1465">
        <v>44928</v>
      </c>
      <c r="L2871" s="1466" t="s">
        <v>2125</v>
      </c>
      <c r="M2871" s="1467">
        <v>5.0788E-2</v>
      </c>
      <c r="N2871" s="1468">
        <v>1.8984685748678409</v>
      </c>
      <c r="O2871" s="1468"/>
    </row>
    <row r="2872" spans="11:15">
      <c r="K2872" s="1465">
        <v>44929</v>
      </c>
      <c r="L2872" s="1466" t="s">
        <v>2125</v>
      </c>
      <c r="M2872" s="1467">
        <v>5.0788E-2</v>
      </c>
      <c r="N2872" s="1468">
        <v>1.8994327690876449</v>
      </c>
      <c r="O2872" s="1468"/>
    </row>
    <row r="2873" spans="11:15">
      <c r="K2873" s="1465">
        <v>44930</v>
      </c>
      <c r="L2873" s="1466" t="s">
        <v>2125</v>
      </c>
      <c r="M2873" s="1467">
        <v>5.0788E-2</v>
      </c>
      <c r="N2873" s="1468">
        <v>1.9003974530024093</v>
      </c>
      <c r="O2873" s="1468"/>
    </row>
    <row r="2874" spans="11:15">
      <c r="K2874" s="1465">
        <v>44931</v>
      </c>
      <c r="L2874" s="1466" t="s">
        <v>2125</v>
      </c>
      <c r="M2874" s="1467">
        <v>5.0788E-2</v>
      </c>
      <c r="N2874" s="1468">
        <v>1.9013626268608401</v>
      </c>
      <c r="O2874" s="1468"/>
    </row>
    <row r="2875" spans="11:15">
      <c r="K2875" s="1465">
        <v>44932</v>
      </c>
      <c r="L2875" s="1466" t="s">
        <v>2125</v>
      </c>
      <c r="M2875" s="1467">
        <v>5.0788E-2</v>
      </c>
      <c r="N2875" s="1468">
        <v>1.9023282909117702</v>
      </c>
      <c r="O2875" s="1468"/>
    </row>
    <row r="2876" spans="11:15">
      <c r="K2876" s="1465">
        <v>44933</v>
      </c>
      <c r="L2876" s="1466"/>
      <c r="M2876" s="1467">
        <v>0</v>
      </c>
      <c r="N2876" s="1468">
        <v>1.9023282909117702</v>
      </c>
      <c r="O2876" s="1468"/>
    </row>
    <row r="2877" spans="11:15">
      <c r="K2877" s="1465">
        <v>44934</v>
      </c>
      <c r="L2877" s="1466"/>
      <c r="M2877" s="1467">
        <v>0</v>
      </c>
      <c r="N2877" s="1468">
        <v>1.9023282909117702</v>
      </c>
      <c r="O2877" s="1468"/>
    </row>
    <row r="2878" spans="11:15">
      <c r="K2878" s="1465">
        <v>44935</v>
      </c>
      <c r="L2878" s="1466" t="s">
        <v>2125</v>
      </c>
      <c r="M2878" s="1467">
        <v>5.0788E-2</v>
      </c>
      <c r="N2878" s="1468">
        <v>1.9032944454041585</v>
      </c>
      <c r="O2878" s="1468"/>
    </row>
    <row r="2879" spans="11:15">
      <c r="K2879" s="1465">
        <v>44936</v>
      </c>
      <c r="L2879" s="1466" t="s">
        <v>2125</v>
      </c>
      <c r="M2879" s="1467">
        <v>5.0788E-2</v>
      </c>
      <c r="N2879" s="1468">
        <v>1.9042610905870905</v>
      </c>
      <c r="O2879" s="1468"/>
    </row>
    <row r="2880" spans="11:15">
      <c r="K2880" s="1465">
        <v>44937</v>
      </c>
      <c r="L2880" s="1466" t="s">
        <v>2125</v>
      </c>
      <c r="M2880" s="1467">
        <v>5.0788E-2</v>
      </c>
      <c r="N2880" s="1468">
        <v>1.905228226709778</v>
      </c>
      <c r="O2880" s="1468"/>
    </row>
    <row r="2881" spans="11:15">
      <c r="K2881" s="1465">
        <v>44938</v>
      </c>
      <c r="L2881" s="1466" t="s">
        <v>2125</v>
      </c>
      <c r="M2881" s="1467">
        <v>5.0788E-2</v>
      </c>
      <c r="N2881" s="1468">
        <v>1.9061958540215593</v>
      </c>
      <c r="O2881" s="1468"/>
    </row>
    <row r="2882" spans="11:15">
      <c r="K2882" s="1465">
        <v>44939</v>
      </c>
      <c r="L2882" s="1466" t="s">
        <v>2125</v>
      </c>
      <c r="M2882" s="1467">
        <v>5.0788E-2</v>
      </c>
      <c r="N2882" s="1468">
        <v>1.9071639727718999</v>
      </c>
      <c r="O2882" s="1468"/>
    </row>
    <row r="2883" spans="11:15">
      <c r="K2883" s="1465">
        <v>44940</v>
      </c>
      <c r="L2883" s="1466"/>
      <c r="M2883" s="1467">
        <v>0</v>
      </c>
      <c r="N2883" s="1468">
        <v>1.9071639727718999</v>
      </c>
      <c r="O2883" s="1468"/>
    </row>
    <row r="2884" spans="11:15">
      <c r="K2884" s="1465">
        <v>44941</v>
      </c>
      <c r="L2884" s="1466"/>
      <c r="M2884" s="1467">
        <v>0</v>
      </c>
      <c r="N2884" s="1468">
        <v>1.9071639727718999</v>
      </c>
      <c r="O2884" s="1468"/>
    </row>
    <row r="2885" spans="11:15">
      <c r="K2885" s="1465">
        <v>44942</v>
      </c>
      <c r="L2885" s="1466" t="s">
        <v>2125</v>
      </c>
      <c r="M2885" s="1467">
        <v>5.0788E-2</v>
      </c>
      <c r="N2885" s="1468">
        <v>1.9081325832103913</v>
      </c>
      <c r="O2885" s="1468"/>
    </row>
    <row r="2886" spans="11:15">
      <c r="K2886" s="1465">
        <v>44943</v>
      </c>
      <c r="L2886" s="1466" t="s">
        <v>2125</v>
      </c>
      <c r="M2886" s="1467">
        <v>5.0788E-2</v>
      </c>
      <c r="N2886" s="1468">
        <v>1.9091016855867522</v>
      </c>
      <c r="O2886" s="1468"/>
    </row>
    <row r="2887" spans="11:15">
      <c r="K2887" s="1465">
        <v>44944</v>
      </c>
      <c r="L2887" s="1466" t="s">
        <v>2125</v>
      </c>
      <c r="M2887" s="1467">
        <v>5.0788E-2</v>
      </c>
      <c r="N2887" s="1468">
        <v>1.9100712801508279</v>
      </c>
      <c r="O2887" s="1468"/>
    </row>
    <row r="2888" spans="11:15">
      <c r="K2888" s="1465">
        <v>44945</v>
      </c>
      <c r="L2888" s="1466" t="s">
        <v>2125</v>
      </c>
      <c r="M2888" s="1467">
        <v>5.0788E-2</v>
      </c>
      <c r="N2888" s="1468">
        <v>1.911041367152591</v>
      </c>
      <c r="O2888" s="1468"/>
    </row>
    <row r="2889" spans="11:15">
      <c r="K2889" s="1465">
        <v>44946</v>
      </c>
      <c r="L2889" s="1466" t="s">
        <v>2125</v>
      </c>
      <c r="M2889" s="1467">
        <v>5.0788E-2</v>
      </c>
      <c r="N2889" s="1468">
        <v>1.9120119468421404</v>
      </c>
      <c r="O2889" s="1468"/>
    </row>
    <row r="2890" spans="11:15">
      <c r="K2890" s="1465">
        <v>44947</v>
      </c>
      <c r="L2890" s="1466"/>
      <c r="M2890" s="1467">
        <v>0</v>
      </c>
      <c r="N2890" s="1468">
        <v>1.9120119468421404</v>
      </c>
      <c r="O2890" s="1468"/>
    </row>
    <row r="2891" spans="11:15">
      <c r="K2891" s="1465">
        <v>44948</v>
      </c>
      <c r="L2891" s="1466"/>
      <c r="M2891" s="1467">
        <v>0</v>
      </c>
      <c r="N2891" s="1468">
        <v>1.9120119468421404</v>
      </c>
      <c r="O2891" s="1468"/>
    </row>
    <row r="2892" spans="11:15">
      <c r="K2892" s="1465">
        <v>44949</v>
      </c>
      <c r="L2892" s="1466" t="s">
        <v>2125</v>
      </c>
      <c r="M2892" s="1467">
        <v>5.0788E-2</v>
      </c>
      <c r="N2892" s="1468">
        <v>1.9129830194697026</v>
      </c>
      <c r="O2892" s="1468"/>
    </row>
    <row r="2893" spans="11:15">
      <c r="K2893" s="1465">
        <v>44950</v>
      </c>
      <c r="L2893" s="1466" t="s">
        <v>2125</v>
      </c>
      <c r="M2893" s="1467">
        <v>5.0788E-2</v>
      </c>
      <c r="N2893" s="1468">
        <v>1.913954585285631</v>
      </c>
      <c r="O2893" s="1468"/>
    </row>
    <row r="2894" spans="11:15">
      <c r="K2894" s="1465">
        <v>44951</v>
      </c>
      <c r="L2894" s="1466" t="s">
        <v>2125</v>
      </c>
      <c r="M2894" s="1467">
        <v>5.0788E-2</v>
      </c>
      <c r="N2894" s="1468">
        <v>1.9149266445404058</v>
      </c>
      <c r="O2894" s="1468"/>
    </row>
    <row r="2895" spans="11:15">
      <c r="K2895" s="1465">
        <v>44952</v>
      </c>
      <c r="L2895" s="1466" t="s">
        <v>2125</v>
      </c>
      <c r="M2895" s="1467">
        <v>5.0788E-2</v>
      </c>
      <c r="N2895" s="1468">
        <v>1.9158991974846351</v>
      </c>
      <c r="O2895" s="1468"/>
    </row>
    <row r="2896" spans="11:15">
      <c r="K2896" s="1465">
        <v>44953</v>
      </c>
      <c r="L2896" s="1466" t="s">
        <v>2125</v>
      </c>
      <c r="M2896" s="1467">
        <v>5.0788E-2</v>
      </c>
      <c r="N2896" s="1468">
        <v>1.9168722443690536</v>
      </c>
      <c r="O2896" s="1468"/>
    </row>
    <row r="2897" spans="11:15">
      <c r="K2897" s="1465">
        <v>44954</v>
      </c>
      <c r="L2897" s="1466"/>
      <c r="M2897" s="1467">
        <v>0</v>
      </c>
      <c r="N2897" s="1468">
        <v>1.9168722443690536</v>
      </c>
      <c r="O2897" s="1468"/>
    </row>
    <row r="2898" spans="11:15">
      <c r="K2898" s="1465">
        <v>44955</v>
      </c>
      <c r="L2898" s="1466"/>
      <c r="M2898" s="1467">
        <v>0</v>
      </c>
      <c r="N2898" s="1468">
        <v>1.9168722443690536</v>
      </c>
      <c r="O2898" s="1468"/>
    </row>
    <row r="2899" spans="11:15">
      <c r="K2899" s="1465">
        <v>44956</v>
      </c>
      <c r="L2899" s="1466" t="s">
        <v>2125</v>
      </c>
      <c r="M2899" s="1467">
        <v>5.0788E-2</v>
      </c>
      <c r="N2899" s="1468">
        <v>1.9178457854445237</v>
      </c>
      <c r="O2899" s="1468"/>
    </row>
    <row r="2900" spans="11:15">
      <c r="K2900" s="1465">
        <v>44957</v>
      </c>
      <c r="L2900" s="1466" t="s">
        <v>2125</v>
      </c>
      <c r="M2900" s="1467">
        <v>5.0788E-2</v>
      </c>
      <c r="N2900" s="1468">
        <v>1.9188198209620353</v>
      </c>
      <c r="O2900" s="1468"/>
    </row>
    <row r="2901" spans="11:15">
      <c r="K2901" s="1465">
        <v>44958</v>
      </c>
      <c r="L2901" s="1466" t="s">
        <v>2125</v>
      </c>
      <c r="M2901" s="1467">
        <v>5.0788E-2</v>
      </c>
      <c r="N2901" s="1468">
        <v>1.9197943511727056</v>
      </c>
      <c r="O2901" s="1468"/>
    </row>
    <row r="2902" spans="11:15">
      <c r="K2902" s="1465">
        <v>44959</v>
      </c>
      <c r="L2902" s="1466" t="s">
        <v>2125</v>
      </c>
      <c r="M2902" s="1467">
        <v>5.0788E-2</v>
      </c>
      <c r="N2902" s="1468">
        <v>1.9207693763277791</v>
      </c>
      <c r="O2902" s="1468"/>
    </row>
    <row r="2903" spans="11:15">
      <c r="K2903" s="1465">
        <v>44960</v>
      </c>
      <c r="L2903" s="1466" t="s">
        <v>2125</v>
      </c>
      <c r="M2903" s="1467">
        <v>5.0788E-2</v>
      </c>
      <c r="N2903" s="1468">
        <v>1.9217448966786286</v>
      </c>
      <c r="O2903" s="1468"/>
    </row>
    <row r="2904" spans="11:15">
      <c r="K2904" s="1465">
        <v>44961</v>
      </c>
      <c r="L2904" s="1466"/>
      <c r="M2904" s="1467">
        <v>0</v>
      </c>
      <c r="N2904" s="1468">
        <v>1.9217448966786286</v>
      </c>
      <c r="O2904" s="1468"/>
    </row>
    <row r="2905" spans="11:15">
      <c r="K2905" s="1465">
        <v>44962</v>
      </c>
      <c r="L2905" s="1466"/>
      <c r="M2905" s="1467">
        <v>0</v>
      </c>
      <c r="N2905" s="1468">
        <v>1.9217448966786286</v>
      </c>
      <c r="O2905" s="1468"/>
    </row>
    <row r="2906" spans="11:15">
      <c r="K2906" s="1465">
        <v>44963</v>
      </c>
      <c r="L2906" s="1466" t="s">
        <v>2125</v>
      </c>
      <c r="M2906" s="1467">
        <v>5.0788E-2</v>
      </c>
      <c r="N2906" s="1468">
        <v>1.9227209124767537</v>
      </c>
      <c r="O2906" s="1468"/>
    </row>
    <row r="2907" spans="11:15">
      <c r="K2907" s="1465">
        <v>44964</v>
      </c>
      <c r="L2907" s="1466" t="s">
        <v>2125</v>
      </c>
      <c r="M2907" s="1467">
        <v>5.0788E-2</v>
      </c>
      <c r="N2907" s="1468">
        <v>1.9236974239737825</v>
      </c>
      <c r="O2907" s="1468"/>
    </row>
    <row r="2908" spans="11:15">
      <c r="K2908" s="1465">
        <v>44965</v>
      </c>
      <c r="L2908" s="1466" t="s">
        <v>2125</v>
      </c>
      <c r="M2908" s="1467">
        <v>5.0788E-2</v>
      </c>
      <c r="N2908" s="1468">
        <v>1.9246744314214703</v>
      </c>
      <c r="O2908" s="1468"/>
    </row>
    <row r="2909" spans="11:15">
      <c r="K2909" s="1465">
        <v>44966</v>
      </c>
      <c r="L2909" s="1466" t="s">
        <v>2125</v>
      </c>
      <c r="M2909" s="1467">
        <v>5.0788E-2</v>
      </c>
      <c r="N2909" s="1468">
        <v>1.9256519350717007</v>
      </c>
      <c r="O2909" s="1468"/>
    </row>
    <row r="2910" spans="11:15">
      <c r="K2910" s="1465">
        <v>44967</v>
      </c>
      <c r="L2910" s="1466" t="s">
        <v>2125</v>
      </c>
      <c r="M2910" s="1467">
        <v>5.0788E-2</v>
      </c>
      <c r="N2910" s="1468">
        <v>1.9266299351764851</v>
      </c>
      <c r="O2910" s="1468"/>
    </row>
    <row r="2911" spans="11:15">
      <c r="K2911" s="1465">
        <v>44968</v>
      </c>
      <c r="L2911" s="1466"/>
      <c r="M2911" s="1467">
        <v>0</v>
      </c>
      <c r="N2911" s="1468">
        <v>1.9266299351764851</v>
      </c>
      <c r="O2911" s="1468"/>
    </row>
    <row r="2912" spans="11:15">
      <c r="K2912" s="1465">
        <v>44969</v>
      </c>
      <c r="L2912" s="1466"/>
      <c r="M2912" s="1467">
        <v>0</v>
      </c>
      <c r="N2912" s="1468">
        <v>1.9266299351764851</v>
      </c>
      <c r="O2912" s="1468"/>
    </row>
    <row r="2913" spans="11:15">
      <c r="K2913" s="1465">
        <v>44970</v>
      </c>
      <c r="L2913" s="1466" t="s">
        <v>2125</v>
      </c>
      <c r="M2913" s="1467">
        <v>5.0788E-2</v>
      </c>
      <c r="N2913" s="1468">
        <v>1.9276084319879625</v>
      </c>
      <c r="O2913" s="1468"/>
    </row>
    <row r="2914" spans="11:15">
      <c r="K2914" s="1465">
        <v>44971</v>
      </c>
      <c r="L2914" s="1466" t="s">
        <v>2125</v>
      </c>
      <c r="M2914" s="1467">
        <v>5.0788E-2</v>
      </c>
      <c r="N2914" s="1468">
        <v>1.9285874257584006</v>
      </c>
      <c r="O2914" s="1468"/>
    </row>
    <row r="2915" spans="11:15">
      <c r="K2915" s="1465">
        <v>44972</v>
      </c>
      <c r="L2915" s="1466" t="s">
        <v>2125</v>
      </c>
      <c r="M2915" s="1467">
        <v>5.0788E-2</v>
      </c>
      <c r="N2915" s="1468">
        <v>1.9295669167401948</v>
      </c>
      <c r="O2915" s="1468"/>
    </row>
    <row r="2916" spans="11:15">
      <c r="K2916" s="1465">
        <v>44973</v>
      </c>
      <c r="L2916" s="1466" t="s">
        <v>2125</v>
      </c>
      <c r="M2916" s="1467">
        <v>5.0788E-2</v>
      </c>
      <c r="N2916" s="1468">
        <v>1.9305469051858688</v>
      </c>
      <c r="O2916" s="1468"/>
    </row>
    <row r="2917" spans="11:15">
      <c r="K2917" s="1465">
        <v>44974</v>
      </c>
      <c r="L2917" s="1466" t="s">
        <v>2125</v>
      </c>
      <c r="M2917" s="1467">
        <v>5.0788E-2</v>
      </c>
      <c r="N2917" s="1468">
        <v>1.9315273913480746</v>
      </c>
      <c r="O2917" s="1468"/>
    </row>
    <row r="2918" spans="11:15">
      <c r="K2918" s="1465">
        <v>44975</v>
      </c>
      <c r="L2918" s="1466"/>
      <c r="M2918" s="1467">
        <v>0</v>
      </c>
      <c r="N2918" s="1468">
        <v>1.9315273913480746</v>
      </c>
      <c r="O2918" s="1468"/>
    </row>
    <row r="2919" spans="11:15">
      <c r="K2919" s="1465">
        <v>44976</v>
      </c>
      <c r="L2919" s="1466"/>
      <c r="M2919" s="1467">
        <v>0</v>
      </c>
      <c r="N2919" s="1468">
        <v>1.9315273913480746</v>
      </c>
      <c r="O2919" s="1468"/>
    </row>
    <row r="2920" spans="11:15">
      <c r="K2920" s="1465">
        <v>44977</v>
      </c>
      <c r="L2920" s="1466"/>
      <c r="M2920" s="1467">
        <v>0</v>
      </c>
      <c r="N2920" s="1468">
        <v>1.9315273913480746</v>
      </c>
      <c r="O2920" s="1468"/>
    </row>
    <row r="2921" spans="11:15">
      <c r="K2921" s="1465">
        <v>44978</v>
      </c>
      <c r="L2921" s="1466"/>
      <c r="M2921" s="1467">
        <v>0</v>
      </c>
      <c r="N2921" s="1468">
        <v>1.9315273913480746</v>
      </c>
      <c r="O2921" s="1468"/>
    </row>
    <row r="2922" spans="11:15">
      <c r="K2922" s="1465">
        <v>44979</v>
      </c>
      <c r="L2922" s="1466" t="s">
        <v>2125</v>
      </c>
      <c r="M2922" s="1467">
        <v>5.0788E-2</v>
      </c>
      <c r="N2922" s="1468">
        <v>1.9325083754795924</v>
      </c>
      <c r="O2922" s="1468"/>
    </row>
    <row r="2923" spans="11:15">
      <c r="K2923" s="1465">
        <v>44980</v>
      </c>
      <c r="L2923" s="1466" t="s">
        <v>2125</v>
      </c>
      <c r="M2923" s="1467">
        <v>5.0788E-2</v>
      </c>
      <c r="N2923" s="1468">
        <v>1.933489857833331</v>
      </c>
      <c r="O2923" s="1468"/>
    </row>
    <row r="2924" spans="11:15">
      <c r="K2924" s="1465">
        <v>44981</v>
      </c>
      <c r="L2924" s="1466" t="s">
        <v>2125</v>
      </c>
      <c r="M2924" s="1467">
        <v>5.0788E-2</v>
      </c>
      <c r="N2924" s="1468">
        <v>1.9344718386623274</v>
      </c>
      <c r="O2924" s="1468"/>
    </row>
    <row r="2925" spans="11:15">
      <c r="K2925" s="1465">
        <v>44982</v>
      </c>
      <c r="L2925" s="1466"/>
      <c r="M2925" s="1467">
        <v>0</v>
      </c>
      <c r="N2925" s="1468">
        <v>1.9344718386623274</v>
      </c>
      <c r="O2925" s="1468"/>
    </row>
    <row r="2926" spans="11:15">
      <c r="K2926" s="1465">
        <v>44983</v>
      </c>
      <c r="L2926" s="1466"/>
      <c r="M2926" s="1467">
        <v>0</v>
      </c>
      <c r="N2926" s="1468">
        <v>1.9344718386623274</v>
      </c>
      <c r="O2926" s="1468"/>
    </row>
    <row r="2927" spans="11:15">
      <c r="K2927" s="1465">
        <v>44984</v>
      </c>
      <c r="L2927" s="1466" t="s">
        <v>2125</v>
      </c>
      <c r="M2927" s="1467">
        <v>5.0788E-2</v>
      </c>
      <c r="N2927" s="1468">
        <v>1.9354543182197472</v>
      </c>
      <c r="O2927" s="1468"/>
    </row>
    <row r="2928" spans="11:15">
      <c r="K2928" s="1465">
        <v>44985</v>
      </c>
      <c r="L2928" s="1466" t="s">
        <v>2125</v>
      </c>
      <c r="M2928" s="1467">
        <v>5.0788E-2</v>
      </c>
      <c r="N2928" s="1468">
        <v>1.9364372967588848</v>
      </c>
      <c r="O2928" s="1468"/>
    </row>
    <row r="2929" spans="11:15">
      <c r="K2929" s="1465">
        <v>44986</v>
      </c>
      <c r="L2929" s="1466" t="s">
        <v>2125</v>
      </c>
      <c r="M2929" s="1467">
        <v>5.0788E-2</v>
      </c>
      <c r="N2929" s="1468">
        <v>1.9374207745331626</v>
      </c>
      <c r="O2929" s="1468"/>
    </row>
    <row r="2930" spans="11:15">
      <c r="K2930" s="1465">
        <v>44987</v>
      </c>
      <c r="L2930" s="1469" t="s">
        <v>2125</v>
      </c>
      <c r="M2930" s="850">
        <v>5.0788E-2</v>
      </c>
      <c r="N2930" s="1469">
        <v>1.9384047517961325</v>
      </c>
      <c r="O2930" s="1469"/>
    </row>
    <row r="2931" spans="11:15">
      <c r="K2931" s="1465">
        <v>44988</v>
      </c>
      <c r="L2931" s="1469" t="s">
        <v>2125</v>
      </c>
      <c r="M2931" s="850">
        <v>5.0788E-2</v>
      </c>
      <c r="N2931" s="1469">
        <v>1.9393892288014747</v>
      </c>
      <c r="O2931" s="1469"/>
    </row>
    <row r="2932" spans="11:15">
      <c r="K2932" s="1465">
        <v>44989</v>
      </c>
      <c r="L2932" s="1469"/>
      <c r="M2932" s="850">
        <v>0</v>
      </c>
      <c r="N2932" s="1469">
        <v>1.9393892288014747</v>
      </c>
      <c r="O2932" s="1469"/>
    </row>
    <row r="2933" spans="11:15">
      <c r="K2933" s="1465">
        <v>44990</v>
      </c>
      <c r="L2933" s="1469"/>
      <c r="M2933" s="850">
        <v>0</v>
      </c>
      <c r="N2933" s="1469">
        <v>1.9393892288014747</v>
      </c>
      <c r="O2933" s="1469"/>
    </row>
    <row r="2934" spans="11:15">
      <c r="K2934" s="1465">
        <v>44991</v>
      </c>
      <c r="L2934" s="1469" t="s">
        <v>2125</v>
      </c>
      <c r="M2934" s="850">
        <v>5.0788E-2</v>
      </c>
      <c r="N2934" s="1469">
        <v>1.9403742058029985</v>
      </c>
      <c r="O2934" s="1469"/>
    </row>
    <row r="2935" spans="11:15">
      <c r="K2935" s="1465">
        <v>44992</v>
      </c>
      <c r="L2935" s="1469" t="s">
        <v>2125</v>
      </c>
      <c r="M2935" s="850">
        <v>5.0788E-2</v>
      </c>
      <c r="N2935" s="1469">
        <v>1.9413596830546418</v>
      </c>
      <c r="O2935" s="1469"/>
    </row>
    <row r="2936" spans="11:15">
      <c r="K2936" s="1465">
        <v>44993</v>
      </c>
      <c r="L2936" s="1469" t="s">
        <v>2125</v>
      </c>
      <c r="M2936" s="850">
        <v>5.0788E-2</v>
      </c>
      <c r="N2936" s="1469">
        <v>1.9423456608104717</v>
      </c>
      <c r="O2936" s="1469"/>
    </row>
    <row r="2937" spans="11:15">
      <c r="K2937" s="1465">
        <v>44994</v>
      </c>
      <c r="L2937" s="1469" t="s">
        <v>2125</v>
      </c>
      <c r="M2937" s="850">
        <v>5.0788E-2</v>
      </c>
      <c r="N2937" s="1469">
        <v>1.9433321393246841</v>
      </c>
      <c r="O2937" s="1469"/>
    </row>
    <row r="2938" spans="11:15">
      <c r="K2938" s="1465">
        <v>44995</v>
      </c>
      <c r="L2938" s="1469" t="s">
        <v>2125</v>
      </c>
      <c r="M2938" s="850">
        <v>5.0788E-2</v>
      </c>
      <c r="N2938" s="1469">
        <v>1.9443191188516042</v>
      </c>
      <c r="O2938" s="1469"/>
    </row>
    <row r="2939" spans="11:15">
      <c r="K2939" s="1465">
        <v>44996</v>
      </c>
      <c r="L2939" s="1469"/>
      <c r="M2939" s="850">
        <v>0</v>
      </c>
      <c r="N2939" s="1469">
        <v>1.9443191188516042</v>
      </c>
      <c r="O2939" s="1469"/>
    </row>
    <row r="2940" spans="11:15">
      <c r="K2940" s="1465">
        <v>44997</v>
      </c>
      <c r="L2940" s="1469"/>
      <c r="M2940" s="850">
        <v>0</v>
      </c>
      <c r="N2940" s="1469">
        <v>1.9443191188516042</v>
      </c>
      <c r="O2940" s="1469"/>
    </row>
    <row r="2941" spans="11:15">
      <c r="K2941" s="1465">
        <v>44998</v>
      </c>
      <c r="L2941" s="1469" t="s">
        <v>2125</v>
      </c>
      <c r="M2941" s="850">
        <v>5.0788E-2</v>
      </c>
      <c r="N2941" s="1469">
        <v>1.9453065996456866</v>
      </c>
      <c r="O2941" s="1469"/>
    </row>
    <row r="2942" spans="11:15">
      <c r="K2942" s="1465">
        <v>44999</v>
      </c>
      <c r="L2942" s="1469" t="s">
        <v>2125</v>
      </c>
      <c r="M2942" s="850">
        <v>5.0788E-2</v>
      </c>
      <c r="N2942" s="1469">
        <v>1.9462945819615147</v>
      </c>
      <c r="O2942" s="1469"/>
    </row>
    <row r="2943" spans="11:15">
      <c r="K2943" s="1465">
        <v>45000</v>
      </c>
      <c r="L2943" s="1469" t="s">
        <v>2125</v>
      </c>
      <c r="M2943" s="850">
        <v>5.0788E-2</v>
      </c>
      <c r="N2943" s="1469">
        <v>1.9472830660538014</v>
      </c>
      <c r="O2943" s="1469"/>
    </row>
    <row r="2944" spans="11:15">
      <c r="K2944" s="1465">
        <v>45001</v>
      </c>
      <c r="L2944" s="1469" t="s">
        <v>2125</v>
      </c>
      <c r="M2944" s="850">
        <v>5.0788E-2</v>
      </c>
      <c r="N2944" s="1469">
        <v>1.9482720521773889</v>
      </c>
      <c r="O2944" s="1469"/>
    </row>
    <row r="2945" spans="11:15">
      <c r="K2945" s="1465">
        <v>45002</v>
      </c>
      <c r="L2945" s="1469" t="s">
        <v>2125</v>
      </c>
      <c r="M2945" s="850">
        <v>5.0788E-2</v>
      </c>
      <c r="N2945" s="1469">
        <v>1.9492615405872487</v>
      </c>
      <c r="O2945" s="1469"/>
    </row>
    <row r="2946" spans="11:15">
      <c r="K2946" s="1465">
        <v>45003</v>
      </c>
      <c r="L2946" s="1469"/>
      <c r="M2946" s="850">
        <v>0</v>
      </c>
      <c r="N2946" s="1469">
        <v>1.9492615405872487</v>
      </c>
      <c r="O2946" s="1469"/>
    </row>
    <row r="2947" spans="11:15">
      <c r="K2947" s="1465">
        <v>45004</v>
      </c>
      <c r="L2947" s="1469"/>
      <c r="M2947" s="850">
        <v>0</v>
      </c>
      <c r="N2947" s="1469">
        <v>1.9492615405872487</v>
      </c>
      <c r="O2947" s="1469"/>
    </row>
    <row r="2948" spans="11:15">
      <c r="K2948" s="1465">
        <v>45005</v>
      </c>
      <c r="L2948" s="1469" t="s">
        <v>2125</v>
      </c>
      <c r="M2948" s="850">
        <v>5.0788E-2</v>
      </c>
      <c r="N2948" s="1469">
        <v>1.9502515315384821</v>
      </c>
      <c r="O2948" s="1469"/>
    </row>
    <row r="2949" spans="11:15">
      <c r="K2949" s="1465">
        <v>45006</v>
      </c>
      <c r="L2949" s="1469" t="s">
        <v>2125</v>
      </c>
      <c r="M2949" s="850">
        <v>5.0788E-2</v>
      </c>
      <c r="N2949" s="1469">
        <v>1.9512420252863198</v>
      </c>
      <c r="O2949" s="1469"/>
    </row>
    <row r="2950" spans="11:15">
      <c r="K2950" s="1465">
        <v>45007</v>
      </c>
      <c r="L2950" s="1469" t="s">
        <v>2125</v>
      </c>
      <c r="M2950" s="850">
        <v>5.0788E-2</v>
      </c>
      <c r="N2950" s="1469">
        <v>1.9522330220861224</v>
      </c>
      <c r="O2950" s="1469"/>
    </row>
    <row r="2951" spans="11:15">
      <c r="K2951" s="1465">
        <v>45008</v>
      </c>
      <c r="L2951" s="1469" t="s">
        <v>2125</v>
      </c>
      <c r="M2951" s="850">
        <v>5.0788E-2</v>
      </c>
      <c r="N2951" s="1469">
        <v>1.9532245221933795</v>
      </c>
      <c r="O2951" s="1469"/>
    </row>
    <row r="2952" spans="11:15">
      <c r="K2952" s="1465">
        <v>45009</v>
      </c>
      <c r="L2952" s="1469" t="s">
        <v>2125</v>
      </c>
      <c r="M2952" s="850">
        <v>5.0788E-2</v>
      </c>
      <c r="N2952" s="1469">
        <v>1.9542165258637112</v>
      </c>
      <c r="O2952" s="1469"/>
    </row>
    <row r="2953" spans="11:15">
      <c r="K2953" s="1465">
        <v>45010</v>
      </c>
      <c r="L2953" s="1469"/>
      <c r="M2953" s="850">
        <v>0</v>
      </c>
      <c r="N2953" s="1469">
        <v>1.9542165258637112</v>
      </c>
      <c r="O2953" s="1469"/>
    </row>
    <row r="2954" spans="11:15">
      <c r="K2954" s="1465">
        <v>45011</v>
      </c>
      <c r="L2954" s="1469"/>
      <c r="M2954" s="850">
        <v>0</v>
      </c>
      <c r="N2954" s="1469">
        <v>1.9542165258637112</v>
      </c>
      <c r="O2954" s="1469"/>
    </row>
    <row r="2955" spans="11:15">
      <c r="K2955" s="1465">
        <v>45012</v>
      </c>
      <c r="L2955" s="1469" t="s">
        <v>2125</v>
      </c>
      <c r="M2955" s="850">
        <v>5.0788E-2</v>
      </c>
      <c r="N2955" s="1469">
        <v>1.9552090333528669</v>
      </c>
      <c r="O2955" s="1469"/>
    </row>
    <row r="2956" spans="11:15">
      <c r="K2956" s="1465">
        <v>45013</v>
      </c>
      <c r="L2956" s="1469" t="s">
        <v>2125</v>
      </c>
      <c r="M2956" s="850">
        <v>5.0788E-2</v>
      </c>
      <c r="N2956" s="1469">
        <v>1.9562020449167261</v>
      </c>
      <c r="O2956" s="1469"/>
    </row>
    <row r="2957" spans="11:15">
      <c r="K2957" s="1465">
        <v>45014</v>
      </c>
      <c r="L2957" s="1469" t="s">
        <v>2125</v>
      </c>
      <c r="M2957" s="850">
        <v>5.0788E-2</v>
      </c>
      <c r="N2957" s="1469">
        <v>1.9571955608112985</v>
      </c>
      <c r="O2957" s="1469"/>
    </row>
    <row r="2958" spans="11:15">
      <c r="K2958" s="1465">
        <v>45015</v>
      </c>
      <c r="L2958" s="1469" t="s">
        <v>2125</v>
      </c>
      <c r="M2958" s="850">
        <v>5.0788E-2</v>
      </c>
      <c r="N2958" s="1469">
        <v>1.9581895812927235</v>
      </c>
      <c r="O2958" s="1469"/>
    </row>
    <row r="2959" spans="11:15">
      <c r="K2959" s="1465">
        <v>45016</v>
      </c>
      <c r="L2959" s="1469" t="s">
        <v>2125</v>
      </c>
      <c r="M2959" s="850">
        <v>5.0788E-2</v>
      </c>
      <c r="N2959" s="1469">
        <v>1.9591841066172704</v>
      </c>
      <c r="O2959" s="1469"/>
    </row>
    <row r="2960" spans="11:15">
      <c r="K2960" s="1465">
        <v>45017</v>
      </c>
      <c r="L2960" s="1469"/>
      <c r="M2960" s="850">
        <v>0</v>
      </c>
      <c r="N2960" s="1469">
        <v>1.9591841066172704</v>
      </c>
      <c r="O2960" s="1469"/>
    </row>
    <row r="2961" spans="11:15">
      <c r="K2961" s="1465">
        <v>45018</v>
      </c>
      <c r="L2961" s="1469"/>
      <c r="M2961" s="850">
        <v>0</v>
      </c>
      <c r="N2961" s="1469">
        <v>1.9591841066172704</v>
      </c>
      <c r="O2961" s="1469"/>
    </row>
    <row r="2962" spans="11:15">
      <c r="K2962" s="1465">
        <v>45019</v>
      </c>
      <c r="L2962" s="1469" t="s">
        <v>2125</v>
      </c>
      <c r="M2962" s="850">
        <v>5.0788E-2</v>
      </c>
      <c r="N2962" s="1469">
        <v>1.9601791370413393</v>
      </c>
      <c r="O2962" s="1469"/>
    </row>
    <row r="2963" spans="11:15">
      <c r="K2963" s="1465">
        <v>45020</v>
      </c>
      <c r="L2963" s="1469" t="s">
        <v>2125</v>
      </c>
      <c r="M2963" s="850">
        <v>5.0788E-2</v>
      </c>
      <c r="N2963" s="1469">
        <v>1.9611746728214599</v>
      </c>
      <c r="O2963" s="1469"/>
    </row>
    <row r="2964" spans="11:15">
      <c r="K2964" s="1465">
        <v>45021</v>
      </c>
      <c r="L2964" s="1469" t="s">
        <v>2125</v>
      </c>
      <c r="M2964" s="850">
        <v>5.0788E-2</v>
      </c>
      <c r="N2964" s="1469">
        <v>1.9621707142142923</v>
      </c>
      <c r="O2964" s="1469"/>
    </row>
    <row r="2965" spans="11:15">
      <c r="K2965" s="1465">
        <v>45022</v>
      </c>
      <c r="L2965" s="1469" t="s">
        <v>2125</v>
      </c>
      <c r="M2965" s="850">
        <v>5.0788E-2</v>
      </c>
      <c r="N2965" s="1469">
        <v>1.9631672614766276</v>
      </c>
      <c r="O2965" s="1469"/>
    </row>
    <row r="2966" spans="11:15">
      <c r="K2966" s="1465">
        <v>45023</v>
      </c>
      <c r="L2966" s="1469"/>
      <c r="M2966" s="850">
        <v>0</v>
      </c>
      <c r="N2966" s="1469">
        <v>1.9631672614766276</v>
      </c>
      <c r="O2966" s="1469"/>
    </row>
    <row r="2967" spans="11:15">
      <c r="K2967" s="1465">
        <v>45024</v>
      </c>
      <c r="L2967" s="1469"/>
      <c r="M2967" s="850">
        <v>0</v>
      </c>
      <c r="N2967" s="1469">
        <v>1.9631672614766276</v>
      </c>
      <c r="O2967" s="1469"/>
    </row>
    <row r="2968" spans="11:15">
      <c r="K2968" s="1465">
        <v>45025</v>
      </c>
      <c r="L2968" s="1469"/>
      <c r="M2968" s="850">
        <v>0</v>
      </c>
      <c r="N2968" s="1469">
        <v>1.9631672614766276</v>
      </c>
      <c r="O2968" s="1469"/>
    </row>
    <row r="2969" spans="11:15">
      <c r="K2969" s="1465">
        <v>45026</v>
      </c>
      <c r="L2969" s="1469" t="s">
        <v>2125</v>
      </c>
      <c r="M2969" s="850">
        <v>5.0788E-2</v>
      </c>
      <c r="N2969" s="1469">
        <v>1.9641643148653865</v>
      </c>
      <c r="O2969" s="1469"/>
    </row>
    <row r="2970" spans="11:15">
      <c r="K2970" s="1465">
        <v>45027</v>
      </c>
      <c r="L2970" s="1469" t="s">
        <v>2125</v>
      </c>
      <c r="M2970" s="850">
        <v>5.0788E-2</v>
      </c>
      <c r="N2970" s="1469">
        <v>1.9651618746376203</v>
      </c>
      <c r="O2970" s="1469"/>
    </row>
    <row r="2971" spans="11:15">
      <c r="K2971" s="1465">
        <v>45028</v>
      </c>
      <c r="L2971" s="1469" t="s">
        <v>2125</v>
      </c>
      <c r="M2971" s="850">
        <v>5.0788E-2</v>
      </c>
      <c r="N2971" s="1469">
        <v>1.9661599410505113</v>
      </c>
      <c r="O2971" s="1469"/>
    </row>
    <row r="2972" spans="11:15">
      <c r="K2972" s="1465">
        <v>45029</v>
      </c>
      <c r="L2972" s="1469" t="s">
        <v>2125</v>
      </c>
      <c r="M2972" s="850">
        <v>5.0788E-2</v>
      </c>
      <c r="N2972" s="1469">
        <v>1.9671585143613721</v>
      </c>
      <c r="O2972" s="1469"/>
    </row>
    <row r="2973" spans="11:15">
      <c r="K2973" s="1465">
        <v>45030</v>
      </c>
      <c r="L2973" s="1469" t="s">
        <v>2125</v>
      </c>
      <c r="M2973" s="850">
        <v>5.0788E-2</v>
      </c>
      <c r="N2973" s="1469">
        <v>1.968157594827646</v>
      </c>
      <c r="O2973" s="1469"/>
    </row>
    <row r="2974" spans="11:15">
      <c r="K2974" s="1465">
        <v>45031</v>
      </c>
      <c r="L2974" s="1469"/>
      <c r="M2974" s="850">
        <v>0</v>
      </c>
      <c r="N2974" s="1469">
        <v>1.968157594827646</v>
      </c>
      <c r="O2974" s="1469"/>
    </row>
    <row r="2975" spans="11:15">
      <c r="K2975" s="1465">
        <v>45032</v>
      </c>
      <c r="L2975" s="1469"/>
      <c r="M2975" s="850">
        <v>0</v>
      </c>
      <c r="N2975" s="1469">
        <v>1.968157594827646</v>
      </c>
      <c r="O2975" s="1469"/>
    </row>
    <row r="2976" spans="11:15">
      <c r="K2976" s="1465">
        <v>45033</v>
      </c>
      <c r="L2976" s="1469" t="s">
        <v>2125</v>
      </c>
      <c r="M2976" s="850">
        <v>5.0788E-2</v>
      </c>
      <c r="N2976" s="1469">
        <v>1.969157182706907</v>
      </c>
      <c r="O2976" s="1469"/>
    </row>
    <row r="2977" spans="11:15">
      <c r="K2977" s="1465">
        <v>45034</v>
      </c>
      <c r="L2977" s="1469" t="s">
        <v>2125</v>
      </c>
      <c r="M2977" s="850">
        <v>5.0788E-2</v>
      </c>
      <c r="N2977" s="1469">
        <v>1.9701572782568602</v>
      </c>
      <c r="O2977" s="1469"/>
    </row>
    <row r="2978" spans="11:15">
      <c r="K2978" s="1465">
        <v>45035</v>
      </c>
      <c r="L2978" s="1469" t="s">
        <v>2125</v>
      </c>
      <c r="M2978" s="850">
        <v>5.0788E-2</v>
      </c>
      <c r="N2978" s="1469">
        <v>1.9711578817353412</v>
      </c>
      <c r="O2978" s="1469"/>
    </row>
    <row r="2979" spans="11:15">
      <c r="K2979" s="1465">
        <v>45036</v>
      </c>
      <c r="L2979" s="1469" t="s">
        <v>2125</v>
      </c>
      <c r="M2979" s="850">
        <v>5.0788E-2</v>
      </c>
      <c r="N2979" s="1469">
        <v>1.972158993400317</v>
      </c>
      <c r="O2979" s="1469"/>
    </row>
    <row r="2980" spans="11:15">
      <c r="K2980" s="1465">
        <v>45037</v>
      </c>
      <c r="L2980" s="1469"/>
      <c r="M2980" s="850">
        <v>0</v>
      </c>
      <c r="N2980" s="1469">
        <v>1.972158993400317</v>
      </c>
      <c r="O2980" s="1469"/>
    </row>
    <row r="2981" spans="11:15">
      <c r="K2981" s="1465">
        <v>45038</v>
      </c>
      <c r="L2981" s="1469"/>
      <c r="M2981" s="850">
        <v>0</v>
      </c>
      <c r="N2981" s="1469">
        <v>1.972158993400317</v>
      </c>
      <c r="O2981" s="1469"/>
    </row>
    <row r="2982" spans="11:15">
      <c r="K2982" s="1465">
        <v>45039</v>
      </c>
      <c r="L2982" s="1469"/>
      <c r="M2982" s="850">
        <v>0</v>
      </c>
      <c r="N2982" s="1469">
        <v>1.972158993400317</v>
      </c>
      <c r="O2982" s="1469"/>
    </row>
    <row r="2983" spans="11:15">
      <c r="K2983" s="1465">
        <v>45040</v>
      </c>
      <c r="L2983" s="1469" t="s">
        <v>2125</v>
      </c>
      <c r="M2983" s="850">
        <v>5.0788E-2</v>
      </c>
      <c r="N2983" s="1469">
        <v>1.9731606135098851</v>
      </c>
      <c r="O2983" s="1469"/>
    </row>
    <row r="2984" spans="11:15">
      <c r="K2984" s="1465">
        <v>45041</v>
      </c>
      <c r="L2984" s="1469" t="s">
        <v>2125</v>
      </c>
      <c r="M2984" s="850">
        <v>5.0788E-2</v>
      </c>
      <c r="N2984" s="1469">
        <v>1.9741627423222745</v>
      </c>
      <c r="O2984" s="1469"/>
    </row>
    <row r="2985" spans="11:15">
      <c r="K2985" s="1465">
        <v>45042</v>
      </c>
      <c r="L2985" s="1469" t="s">
        <v>2125</v>
      </c>
      <c r="M2985" s="850">
        <v>5.0788E-2</v>
      </c>
      <c r="N2985" s="1469">
        <v>1.9751653800958451</v>
      </c>
      <c r="O2985" s="1469"/>
    </row>
    <row r="2986" spans="11:15">
      <c r="K2986" s="1465">
        <v>45043</v>
      </c>
      <c r="L2986" s="1469" t="s">
        <v>2125</v>
      </c>
      <c r="M2986" s="850">
        <v>5.0788E-2</v>
      </c>
      <c r="N2986" s="1469">
        <v>1.9761685270890883</v>
      </c>
      <c r="O2986" s="1469"/>
    </row>
    <row r="2987" spans="11:15">
      <c r="K2987" s="1465">
        <v>45044</v>
      </c>
      <c r="L2987" s="1469" t="s">
        <v>2125</v>
      </c>
      <c r="M2987" s="850">
        <v>5.0788E-2</v>
      </c>
      <c r="N2987" s="1469">
        <v>1.9771721835606264</v>
      </c>
      <c r="O2987" s="1469"/>
    </row>
    <row r="2988" spans="11:15">
      <c r="K2988" s="1465">
        <v>45045</v>
      </c>
      <c r="L2988" s="1469"/>
      <c r="M2988" s="850">
        <v>0</v>
      </c>
      <c r="N2988" s="1469">
        <v>1.9771721835606264</v>
      </c>
      <c r="O2988" s="1469"/>
    </row>
    <row r="2989" spans="11:15">
      <c r="K2989" s="1465">
        <v>45046</v>
      </c>
      <c r="L2989" s="1469"/>
      <c r="M2989" s="850">
        <v>0</v>
      </c>
      <c r="N2989" s="1469">
        <v>1.9771721835606264</v>
      </c>
      <c r="O2989" s="1469"/>
    </row>
    <row r="2990" spans="11:15">
      <c r="K2990" s="1465">
        <v>45047</v>
      </c>
      <c r="L2990" s="1469"/>
      <c r="M2990" s="850">
        <v>0</v>
      </c>
      <c r="N2990" s="1469">
        <v>1.9771721835606264</v>
      </c>
      <c r="O2990" s="1469"/>
    </row>
    <row r="2991" spans="11:15">
      <c r="K2991" s="1465">
        <v>45048</v>
      </c>
      <c r="L2991" s="1469" t="s">
        <v>2125</v>
      </c>
      <c r="M2991" s="850">
        <v>5.0788E-2</v>
      </c>
      <c r="N2991" s="1469">
        <v>1.9781763497692133</v>
      </c>
      <c r="O2991" s="1469"/>
    </row>
    <row r="2992" spans="11:15">
      <c r="K2992" s="1465">
        <v>45049</v>
      </c>
      <c r="L2992" s="1469" t="s">
        <v>2125</v>
      </c>
      <c r="M2992" s="850">
        <v>5.0788E-2</v>
      </c>
      <c r="N2992" s="1469">
        <v>1.9791810259737341</v>
      </c>
      <c r="O2992" s="1469"/>
    </row>
    <row r="2993" spans="11:15">
      <c r="K2993" s="1465">
        <v>45050</v>
      </c>
      <c r="L2993" s="1469" t="s">
        <v>2125</v>
      </c>
      <c r="M2993" s="850">
        <v>5.0788E-2</v>
      </c>
      <c r="N2993" s="1469">
        <v>1.9801862124332057</v>
      </c>
      <c r="O2993" s="1469"/>
    </row>
    <row r="2994" spans="11:15">
      <c r="K2994" s="1465">
        <v>45051</v>
      </c>
      <c r="L2994" s="1469" t="s">
        <v>2125</v>
      </c>
      <c r="M2994" s="850">
        <v>5.0788E-2</v>
      </c>
      <c r="N2994" s="1469">
        <v>1.9811919094067763</v>
      </c>
      <c r="O2994" s="1469"/>
    </row>
    <row r="2995" spans="11:15">
      <c r="K2995" s="1465">
        <v>45052</v>
      </c>
      <c r="L2995" s="1469"/>
      <c r="M2995" s="850">
        <v>0</v>
      </c>
      <c r="N2995" s="1469">
        <v>1.9811919094067763</v>
      </c>
      <c r="O2995" s="1469"/>
    </row>
    <row r="2996" spans="11:15">
      <c r="K2996" s="1465">
        <v>45053</v>
      </c>
      <c r="L2996" s="1469"/>
      <c r="M2996" s="850">
        <v>0</v>
      </c>
      <c r="N2996" s="1469">
        <v>1.9811919094067763</v>
      </c>
      <c r="O2996" s="1469"/>
    </row>
    <row r="2997" spans="11:15">
      <c r="K2997" s="1465">
        <v>45054</v>
      </c>
      <c r="L2997" s="1469" t="s">
        <v>2125</v>
      </c>
      <c r="M2997" s="850">
        <v>5.0788E-2</v>
      </c>
      <c r="N2997" s="1469">
        <v>1.9821981171537257</v>
      </c>
      <c r="O2997" s="1469"/>
    </row>
    <row r="2998" spans="11:15">
      <c r="K2998" s="1465">
        <v>45055</v>
      </c>
      <c r="L2998" s="1469" t="s">
        <v>2125</v>
      </c>
      <c r="M2998" s="850">
        <v>5.0788E-2</v>
      </c>
      <c r="N2998" s="1469">
        <v>1.9832048359334657</v>
      </c>
      <c r="O2998" s="1469"/>
    </row>
    <row r="2999" spans="11:15">
      <c r="K2999" s="1465">
        <v>45056</v>
      </c>
      <c r="L2999" s="1469" t="s">
        <v>2125</v>
      </c>
      <c r="M2999" s="850">
        <v>5.0788E-2</v>
      </c>
      <c r="N2999" s="1469">
        <v>1.9842120660055396</v>
      </c>
      <c r="O2999" s="1469"/>
    </row>
    <row r="3000" spans="11:15">
      <c r="K3000" s="1465">
        <v>45057</v>
      </c>
      <c r="L3000" s="1469" t="s">
        <v>2125</v>
      </c>
      <c r="M3000" s="850">
        <v>5.0788E-2</v>
      </c>
      <c r="N3000" s="1469">
        <v>1.9852198076296226</v>
      </c>
      <c r="O3000" s="1469"/>
    </row>
    <row r="3001" spans="11:15">
      <c r="K3001" s="1465">
        <v>45058</v>
      </c>
      <c r="L3001" s="1469" t="s">
        <v>2125</v>
      </c>
      <c r="M3001" s="850">
        <v>5.0788E-2</v>
      </c>
      <c r="N3001" s="1469">
        <v>1.9862280610655216</v>
      </c>
      <c r="O3001" s="1469"/>
    </row>
    <row r="3002" spans="11:15">
      <c r="K3002" s="1465">
        <v>45059</v>
      </c>
      <c r="L3002" s="1469"/>
      <c r="M3002" s="850">
        <v>0</v>
      </c>
      <c r="N3002" s="1469">
        <v>1.9862280610655216</v>
      </c>
      <c r="O3002" s="1469"/>
    </row>
    <row r="3003" spans="11:15">
      <c r="K3003" s="1465">
        <v>45060</v>
      </c>
      <c r="L3003" s="1469"/>
      <c r="M3003" s="850">
        <v>0</v>
      </c>
      <c r="N3003" s="1469">
        <v>1.9862280610655216</v>
      </c>
      <c r="O3003" s="1469"/>
    </row>
    <row r="3004" spans="11:15">
      <c r="K3004" s="1465">
        <v>45061</v>
      </c>
      <c r="L3004" s="1469" t="s">
        <v>2125</v>
      </c>
      <c r="M3004" s="850">
        <v>5.0788E-2</v>
      </c>
      <c r="N3004" s="1469">
        <v>1.9872368265731757</v>
      </c>
      <c r="O3004" s="1469"/>
    </row>
    <row r="3005" spans="11:15">
      <c r="K3005" s="1465">
        <v>45062</v>
      </c>
      <c r="L3005" s="1469" t="s">
        <v>2125</v>
      </c>
      <c r="M3005" s="850">
        <v>5.0788E-2</v>
      </c>
      <c r="N3005" s="1469">
        <v>1.9882461044126558</v>
      </c>
      <c r="O3005" s="1469"/>
    </row>
    <row r="3006" spans="11:15">
      <c r="K3006" s="1465">
        <v>45063</v>
      </c>
      <c r="L3006" s="1469" t="s">
        <v>2125</v>
      </c>
      <c r="M3006" s="850">
        <v>5.0788E-2</v>
      </c>
      <c r="N3006" s="1469">
        <v>1.989255894844165</v>
      </c>
      <c r="O3006" s="1469"/>
    </row>
    <row r="3007" spans="11:15">
      <c r="K3007" s="1465">
        <v>45064</v>
      </c>
      <c r="L3007" s="1469" t="s">
        <v>2125</v>
      </c>
      <c r="M3007" s="850">
        <v>5.0788E-2</v>
      </c>
      <c r="N3007" s="1469">
        <v>1.9902661981280385</v>
      </c>
      <c r="O3007" s="1469"/>
    </row>
    <row r="3008" spans="11:15">
      <c r="K3008" s="1465">
        <v>45065</v>
      </c>
      <c r="L3008" s="1469" t="s">
        <v>2125</v>
      </c>
      <c r="M3008" s="850">
        <v>5.0788E-2</v>
      </c>
      <c r="N3008" s="1469">
        <v>1.9912770145247438</v>
      </c>
      <c r="O3008" s="1469"/>
    </row>
    <row r="3009" spans="11:15">
      <c r="K3009" s="1465">
        <v>45066</v>
      </c>
      <c r="L3009" s="1469"/>
      <c r="M3009" s="850">
        <v>0</v>
      </c>
      <c r="N3009" s="1469">
        <v>1.9912770145247438</v>
      </c>
      <c r="O3009" s="1469"/>
    </row>
    <row r="3010" spans="11:15">
      <c r="K3010" s="1465">
        <v>45067</v>
      </c>
      <c r="L3010" s="1469"/>
      <c r="M3010" s="850">
        <v>0</v>
      </c>
      <c r="N3010" s="1469">
        <v>1.9912770145247438</v>
      </c>
      <c r="O3010" s="1469"/>
    </row>
    <row r="3011" spans="11:15">
      <c r="K3011" s="1465">
        <v>45068</v>
      </c>
      <c r="L3011" s="1469" t="s">
        <v>2125</v>
      </c>
      <c r="M3011" s="850">
        <v>5.0788E-2</v>
      </c>
      <c r="N3011" s="1469">
        <v>1.9922883442948807</v>
      </c>
      <c r="O3011" s="1469"/>
    </row>
    <row r="3012" spans="11:15">
      <c r="K3012" s="1465">
        <v>45069</v>
      </c>
      <c r="L3012" s="1469" t="s">
        <v>2125</v>
      </c>
      <c r="M3012" s="850">
        <v>5.0788E-2</v>
      </c>
      <c r="N3012" s="1469">
        <v>1.9933001876991812</v>
      </c>
      <c r="O3012" s="1469"/>
    </row>
    <row r="3013" spans="11:15">
      <c r="K3013" s="1465">
        <v>45070</v>
      </c>
      <c r="L3013" s="1469" t="s">
        <v>2125</v>
      </c>
      <c r="M3013" s="850">
        <v>5.0788E-2</v>
      </c>
      <c r="N3013" s="1469">
        <v>1.9943125449985097</v>
      </c>
      <c r="O3013" s="1469"/>
    </row>
    <row r="3014" spans="11:15">
      <c r="K3014" s="1465">
        <v>45071</v>
      </c>
      <c r="L3014" s="1469" t="s">
        <v>2125</v>
      </c>
      <c r="M3014" s="850">
        <v>5.0788E-2</v>
      </c>
      <c r="N3014" s="1469">
        <v>1.9953254164538636</v>
      </c>
      <c r="O3014" s="1469"/>
    </row>
    <row r="3015" spans="11:15">
      <c r="K3015" s="1465">
        <v>45072</v>
      </c>
      <c r="L3015" s="1469" t="s">
        <v>2125</v>
      </c>
      <c r="M3015" s="850">
        <v>5.0788E-2</v>
      </c>
      <c r="N3015" s="1469">
        <v>1.9963388023263722</v>
      </c>
      <c r="O3015" s="1469"/>
    </row>
    <row r="3016" spans="11:15">
      <c r="K3016" s="1465">
        <v>45073</v>
      </c>
      <c r="L3016" s="1469"/>
      <c r="M3016" s="850">
        <v>0</v>
      </c>
      <c r="N3016" s="1469">
        <v>1.9963388023263722</v>
      </c>
      <c r="O3016" s="1469"/>
    </row>
    <row r="3017" spans="11:15">
      <c r="K3017" s="1465">
        <v>45074</v>
      </c>
      <c r="L3017" s="1469"/>
      <c r="M3017" s="850">
        <v>0</v>
      </c>
      <c r="N3017" s="1469">
        <v>1.9963388023263722</v>
      </c>
      <c r="O3017" s="1469"/>
    </row>
    <row r="3018" spans="11:15">
      <c r="K3018" s="1465">
        <v>45075</v>
      </c>
      <c r="L3018" s="1469" t="s">
        <v>2125</v>
      </c>
      <c r="M3018" s="850">
        <v>5.0788E-2</v>
      </c>
      <c r="N3018" s="1469">
        <v>1.9973527028772977</v>
      </c>
      <c r="O3018" s="1469"/>
    </row>
    <row r="3019" spans="11:15">
      <c r="K3019" s="1465">
        <v>45076</v>
      </c>
      <c r="L3019" s="1469" t="s">
        <v>2125</v>
      </c>
      <c r="M3019" s="850">
        <v>5.0788E-2</v>
      </c>
      <c r="N3019" s="1469">
        <v>1.9983671183680352</v>
      </c>
      <c r="O3019" s="1469"/>
    </row>
    <row r="3020" spans="11:15">
      <c r="K3020" s="1465">
        <v>45077</v>
      </c>
      <c r="L3020" s="1469" t="s">
        <v>2125</v>
      </c>
      <c r="M3020" s="850">
        <v>5.0788E-2</v>
      </c>
      <c r="N3020" s="1469">
        <v>1.999382049060112</v>
      </c>
      <c r="O3020" s="1469"/>
    </row>
    <row r="3021" spans="11:15">
      <c r="K3021" s="1465">
        <v>45078</v>
      </c>
      <c r="L3021" s="1469" t="s">
        <v>2125</v>
      </c>
      <c r="M3021" s="850">
        <v>5.0788E-2</v>
      </c>
      <c r="N3021" s="1469">
        <v>2.0003974952151888</v>
      </c>
      <c r="O3021" s="1469"/>
    </row>
    <row r="3022" spans="11:15">
      <c r="K3022" s="1465">
        <v>45079</v>
      </c>
      <c r="L3022" s="1469" t="s">
        <v>2125</v>
      </c>
      <c r="M3022" s="850">
        <v>5.0788E-2</v>
      </c>
      <c r="N3022" s="1469">
        <v>2.0014134570950586</v>
      </c>
      <c r="O3022" s="1469"/>
    </row>
    <row r="3023" spans="11:15">
      <c r="K3023" s="1465">
        <v>45080</v>
      </c>
      <c r="L3023" s="1469"/>
      <c r="M3023" s="850">
        <v>0</v>
      </c>
      <c r="N3023" s="1469">
        <v>2.0014134570950586</v>
      </c>
      <c r="O3023" s="1469"/>
    </row>
    <row r="3024" spans="11:15">
      <c r="K3024" s="1465">
        <v>45081</v>
      </c>
      <c r="L3024" s="1469"/>
      <c r="M3024" s="850">
        <v>0</v>
      </c>
      <c r="N3024" s="1469">
        <v>2.0014134570950586</v>
      </c>
      <c r="O3024" s="1469"/>
    </row>
    <row r="3025" spans="11:15">
      <c r="K3025" s="1465">
        <v>45082</v>
      </c>
      <c r="L3025" s="1469" t="s">
        <v>2125</v>
      </c>
      <c r="M3025" s="850">
        <v>5.0788E-2</v>
      </c>
      <c r="N3025" s="1469">
        <v>2.0024299349616479</v>
      </c>
      <c r="O3025" s="1469"/>
    </row>
    <row r="3026" spans="11:15">
      <c r="K3026" s="1465">
        <v>45083</v>
      </c>
      <c r="L3026" s="1469" t="s">
        <v>2125</v>
      </c>
      <c r="M3026" s="850">
        <v>5.0788E-2</v>
      </c>
      <c r="N3026" s="1469">
        <v>2.003446929077016</v>
      </c>
      <c r="O3026" s="1469"/>
    </row>
    <row r="3027" spans="11:15">
      <c r="K3027" s="1465">
        <v>45084</v>
      </c>
      <c r="L3027" s="1469" t="s">
        <v>2125</v>
      </c>
      <c r="M3027" s="850">
        <v>5.0788E-2</v>
      </c>
      <c r="N3027" s="1469">
        <v>2.0044644397033555</v>
      </c>
      <c r="O3027" s="1469"/>
    </row>
    <row r="3028" spans="11:15">
      <c r="K3028" s="1465">
        <v>45085</v>
      </c>
      <c r="L3028" s="1469"/>
      <c r="M3028" s="850">
        <v>0</v>
      </c>
      <c r="N3028" s="1469">
        <v>2.0044644397033555</v>
      </c>
      <c r="O3028" s="1469"/>
    </row>
    <row r="3029" spans="11:15">
      <c r="K3029" s="1465">
        <v>45086</v>
      </c>
      <c r="L3029" s="1469" t="s">
        <v>2125</v>
      </c>
      <c r="M3029" s="850">
        <v>5.0788E-2</v>
      </c>
      <c r="N3029" s="1469">
        <v>2.0054824671029921</v>
      </c>
      <c r="O3029" s="1469"/>
    </row>
    <row r="3030" spans="11:15">
      <c r="K3030" s="1465">
        <v>45087</v>
      </c>
      <c r="L3030" s="1469"/>
      <c r="M3030" s="850">
        <v>0</v>
      </c>
      <c r="N3030" s="1469">
        <v>2.0054824671029921</v>
      </c>
      <c r="O3030" s="1469"/>
    </row>
    <row r="3031" spans="11:15">
      <c r="K3031" s="1465">
        <v>45088</v>
      </c>
      <c r="L3031" s="1469"/>
      <c r="M3031" s="850">
        <v>0</v>
      </c>
      <c r="N3031" s="1469">
        <v>2.0054824671029921</v>
      </c>
      <c r="O3031" s="1469"/>
    </row>
    <row r="3032" spans="11:15">
      <c r="K3032" s="1465">
        <v>45089</v>
      </c>
      <c r="L3032" s="1469" t="s">
        <v>2125</v>
      </c>
      <c r="M3032" s="850">
        <v>5.0788E-2</v>
      </c>
      <c r="N3032" s="1469">
        <v>2.0065010115383846</v>
      </c>
      <c r="O3032" s="1469"/>
    </row>
    <row r="3033" spans="11:15">
      <c r="K3033" s="1465">
        <v>45090</v>
      </c>
      <c r="L3033" s="1469" t="s">
        <v>2125</v>
      </c>
      <c r="M3033" s="850">
        <v>5.0788E-2</v>
      </c>
      <c r="N3033" s="1469">
        <v>2.0075200732721248</v>
      </c>
      <c r="O3033" s="1469"/>
    </row>
    <row r="3034" spans="11:15">
      <c r="K3034" s="1465">
        <v>45091</v>
      </c>
      <c r="L3034" s="1469" t="s">
        <v>2125</v>
      </c>
      <c r="M3034" s="850">
        <v>5.0788E-2</v>
      </c>
      <c r="N3034" s="1469">
        <v>2.0085396525669381</v>
      </c>
      <c r="O3034" s="1469"/>
    </row>
    <row r="3035" spans="11:15">
      <c r="K3035" s="1465">
        <v>45092</v>
      </c>
      <c r="L3035" s="1469" t="s">
        <v>2125</v>
      </c>
      <c r="M3035" s="850">
        <v>5.0788E-2</v>
      </c>
      <c r="N3035" s="1469">
        <v>2.0095597496856836</v>
      </c>
      <c r="O3035" s="1469"/>
    </row>
    <row r="3036" spans="11:15">
      <c r="K3036" s="1465">
        <v>45093</v>
      </c>
      <c r="L3036" s="1469" t="s">
        <v>2125</v>
      </c>
      <c r="M3036" s="850">
        <v>5.0788E-2</v>
      </c>
      <c r="N3036" s="1469">
        <v>2.0105803648913541</v>
      </c>
      <c r="O3036" s="1469"/>
    </row>
    <row r="3037" spans="11:15">
      <c r="K3037" s="1465">
        <v>45094</v>
      </c>
      <c r="L3037" s="1469"/>
      <c r="M3037" s="850">
        <v>0</v>
      </c>
      <c r="N3037" s="1469">
        <v>2.0105803648913541</v>
      </c>
      <c r="O3037" s="1469"/>
    </row>
    <row r="3038" spans="11:15">
      <c r="K3038" s="1465">
        <v>45095</v>
      </c>
      <c r="L3038" s="1469"/>
      <c r="M3038" s="850">
        <v>0</v>
      </c>
      <c r="N3038" s="1469">
        <v>2.0105803648913541</v>
      </c>
      <c r="O3038" s="1469"/>
    </row>
    <row r="3039" spans="11:15">
      <c r="K3039" s="1465">
        <v>45096</v>
      </c>
      <c r="L3039" s="1469" t="s">
        <v>2125</v>
      </c>
      <c r="M3039" s="850">
        <v>5.0788E-2</v>
      </c>
      <c r="N3039" s="1469">
        <v>2.0116014984470749</v>
      </c>
      <c r="O3039" s="1469"/>
    </row>
    <row r="3040" spans="11:15">
      <c r="K3040" s="1465">
        <v>45097</v>
      </c>
      <c r="L3040" s="1469" t="s">
        <v>2125</v>
      </c>
      <c r="M3040" s="850">
        <v>5.0788E-2</v>
      </c>
      <c r="N3040" s="1469">
        <v>2.0126231506161063</v>
      </c>
      <c r="O3040" s="1469"/>
    </row>
    <row r="3041" spans="11:15">
      <c r="K3041" s="1465">
        <v>45098</v>
      </c>
      <c r="L3041" s="1469" t="s">
        <v>2125</v>
      </c>
      <c r="M3041" s="850">
        <v>5.0788E-2</v>
      </c>
      <c r="N3041" s="1469">
        <v>2.0136453216618411</v>
      </c>
      <c r="O3041" s="1469"/>
    </row>
    <row r="3042" spans="11:15">
      <c r="K3042" s="1465">
        <v>45099</v>
      </c>
      <c r="L3042" s="1469" t="s">
        <v>2125</v>
      </c>
      <c r="M3042" s="850">
        <v>5.0788E-2</v>
      </c>
      <c r="N3042" s="1469">
        <v>2.0146680118478066</v>
      </c>
      <c r="O3042" s="1469"/>
    </row>
    <row r="3043" spans="11:15">
      <c r="K3043" s="1465">
        <v>45100</v>
      </c>
      <c r="L3043" s="1469" t="s">
        <v>2125</v>
      </c>
      <c r="M3043" s="850">
        <v>5.0788E-2</v>
      </c>
      <c r="N3043" s="1469">
        <v>2.0156912214376641</v>
      </c>
      <c r="O3043" s="1469"/>
    </row>
    <row r="3044" spans="11:15">
      <c r="K3044" s="1465">
        <v>45101</v>
      </c>
      <c r="L3044" s="1469"/>
      <c r="M3044" s="850">
        <v>0</v>
      </c>
      <c r="N3044" s="1469">
        <v>2.0156912214376641</v>
      </c>
      <c r="O3044" s="1469"/>
    </row>
    <row r="3045" spans="11:15">
      <c r="K3045" s="1465">
        <v>45102</v>
      </c>
      <c r="L3045" s="1469"/>
      <c r="M3045" s="850">
        <v>0</v>
      </c>
      <c r="N3045" s="1469">
        <v>2.0156912214376641</v>
      </c>
      <c r="O3045" s="1469"/>
    </row>
    <row r="3046" spans="11:15">
      <c r="K3046" s="1465">
        <v>45103</v>
      </c>
      <c r="L3046" s="1469" t="s">
        <v>2125</v>
      </c>
      <c r="M3046" s="850">
        <v>5.0788E-2</v>
      </c>
      <c r="N3046" s="1469">
        <v>2.0167149506952078</v>
      </c>
      <c r="O3046" s="1469"/>
    </row>
    <row r="3047" spans="11:15">
      <c r="K3047" s="1465">
        <v>45104</v>
      </c>
      <c r="L3047" s="1469" t="s">
        <v>2125</v>
      </c>
      <c r="M3047" s="850">
        <v>5.0788E-2</v>
      </c>
      <c r="N3047" s="1469">
        <v>2.017739199884367</v>
      </c>
      <c r="O3047" s="1469"/>
    </row>
    <row r="3048" spans="11:15">
      <c r="K3048" s="1465">
        <v>45105</v>
      </c>
      <c r="L3048" s="1469" t="s">
        <v>2125</v>
      </c>
      <c r="M3048" s="850">
        <v>5.0788E-2</v>
      </c>
      <c r="N3048" s="1469">
        <v>2.0187639692692043</v>
      </c>
      <c r="O3048" s="1469"/>
    </row>
    <row r="3049" spans="11:15">
      <c r="K3049" s="1465">
        <v>45106</v>
      </c>
      <c r="L3049" s="1469" t="s">
        <v>2125</v>
      </c>
      <c r="M3049" s="850">
        <v>5.0788E-2</v>
      </c>
      <c r="N3049" s="1469">
        <v>2.0197892591139168</v>
      </c>
      <c r="O3049" s="1469"/>
    </row>
    <row r="3050" spans="11:15">
      <c r="K3050" s="1465">
        <v>45107</v>
      </c>
      <c r="L3050" s="1469" t="s">
        <v>2125</v>
      </c>
      <c r="M3050" s="850">
        <v>5.0788E-2</v>
      </c>
      <c r="N3050" s="1469">
        <v>2.0208150696828358</v>
      </c>
      <c r="O3050" s="1469"/>
    </row>
    <row r="3051" spans="11:15">
      <c r="K3051" s="1465">
        <v>45108</v>
      </c>
      <c r="L3051" s="1469"/>
      <c r="M3051" s="850">
        <v>0</v>
      </c>
      <c r="N3051" s="1469">
        <v>2.0208150696828358</v>
      </c>
      <c r="O3051" s="1469"/>
    </row>
    <row r="3052" spans="11:15">
      <c r="K3052" s="1465">
        <v>45109</v>
      </c>
      <c r="L3052" s="1469"/>
      <c r="M3052" s="850">
        <v>0</v>
      </c>
      <c r="N3052" s="1469">
        <v>2.0208150696828358</v>
      </c>
      <c r="O3052" s="1469"/>
    </row>
    <row r="3053" spans="11:15">
      <c r="K3053" s="1465">
        <v>45110</v>
      </c>
      <c r="L3053" s="1469" t="s">
        <v>2125</v>
      </c>
      <c r="M3053" s="850">
        <v>5.0788E-2</v>
      </c>
      <c r="N3053" s="1469">
        <v>2.0218414012404264</v>
      </c>
      <c r="O3053" s="1469"/>
    </row>
    <row r="3054" spans="11:15">
      <c r="K3054" s="1465">
        <v>45111</v>
      </c>
      <c r="L3054" s="1469" t="s">
        <v>2125</v>
      </c>
      <c r="M3054" s="850">
        <v>5.0788E-2</v>
      </c>
      <c r="N3054" s="1469">
        <v>2.0228682540512883</v>
      </c>
      <c r="O3054" s="1469"/>
    </row>
    <row r="3055" spans="11:15">
      <c r="K3055" s="1465">
        <v>45112</v>
      </c>
      <c r="L3055" s="1469" t="s">
        <v>2125</v>
      </c>
      <c r="M3055" s="850">
        <v>5.0788E-2</v>
      </c>
      <c r="N3055" s="1469">
        <v>2.0238956283801559</v>
      </c>
      <c r="O3055" s="1469"/>
    </row>
    <row r="3056" spans="11:15">
      <c r="K3056" s="1465">
        <v>45113</v>
      </c>
      <c r="L3056" s="1469" t="s">
        <v>2125</v>
      </c>
      <c r="M3056" s="850">
        <v>5.0788E-2</v>
      </c>
      <c r="N3056" s="1469">
        <v>2.0249235244918977</v>
      </c>
      <c r="O3056" s="1469"/>
    </row>
    <row r="3057" spans="11:15">
      <c r="K3057" s="1465">
        <v>45114</v>
      </c>
      <c r="L3057" s="1469" t="s">
        <v>2125</v>
      </c>
      <c r="M3057" s="850">
        <v>5.0788E-2</v>
      </c>
      <c r="N3057" s="1469">
        <v>2.0259519426515169</v>
      </c>
      <c r="O3057" s="1469"/>
    </row>
    <row r="3058" spans="11:15">
      <c r="K3058" s="1465">
        <v>45115</v>
      </c>
      <c r="L3058" s="1469"/>
      <c r="M3058" s="850">
        <v>0</v>
      </c>
      <c r="N3058" s="1469">
        <v>2.0259519426515169</v>
      </c>
      <c r="O3058" s="1469"/>
    </row>
    <row r="3059" spans="11:15">
      <c r="K3059" s="1465">
        <v>45116</v>
      </c>
      <c r="L3059" s="1469"/>
      <c r="M3059" s="850">
        <v>0</v>
      </c>
      <c r="N3059" s="1469">
        <v>2.0259519426515169</v>
      </c>
      <c r="O3059" s="1469"/>
    </row>
    <row r="3060" spans="11:15">
      <c r="K3060" s="1465">
        <v>45117</v>
      </c>
      <c r="L3060" s="1469" t="s">
        <v>2125</v>
      </c>
      <c r="M3060" s="850">
        <v>5.0788E-2</v>
      </c>
      <c r="N3060" s="1469">
        <v>2.0269808831241507</v>
      </c>
      <c r="O3060" s="1469"/>
    </row>
    <row r="3061" spans="11:15">
      <c r="K3061" s="1465">
        <v>45118</v>
      </c>
      <c r="L3061" s="1469" t="s">
        <v>2125</v>
      </c>
      <c r="M3061" s="850">
        <v>5.0788E-2</v>
      </c>
      <c r="N3061" s="1469">
        <v>2.0280103461750718</v>
      </c>
      <c r="O3061" s="1469"/>
    </row>
    <row r="3062" spans="11:15">
      <c r="K3062" s="1465">
        <v>45119</v>
      </c>
      <c r="L3062" s="1469" t="s">
        <v>2125</v>
      </c>
      <c r="M3062" s="850">
        <v>5.0788E-2</v>
      </c>
      <c r="N3062" s="1469">
        <v>2.029040332069687</v>
      </c>
      <c r="O3062" s="1469"/>
    </row>
    <row r="3063" spans="11:15">
      <c r="K3063" s="1465">
        <v>45120</v>
      </c>
      <c r="L3063" s="1469" t="s">
        <v>2125</v>
      </c>
      <c r="M3063" s="850">
        <v>5.0788E-2</v>
      </c>
      <c r="N3063" s="1469">
        <v>2.0300708410735386</v>
      </c>
      <c r="O3063" s="1469"/>
    </row>
    <row r="3064" spans="11:15">
      <c r="K3064" s="1465">
        <v>45121</v>
      </c>
      <c r="L3064" s="1469" t="s">
        <v>2125</v>
      </c>
      <c r="M3064" s="850">
        <v>5.0788E-2</v>
      </c>
      <c r="N3064" s="1469">
        <v>2.031101873452303</v>
      </c>
      <c r="O3064" s="1469"/>
    </row>
    <row r="3065" spans="11:15">
      <c r="K3065" s="1465">
        <v>45122</v>
      </c>
      <c r="L3065" s="1469"/>
      <c r="M3065" s="850">
        <v>0</v>
      </c>
      <c r="N3065" s="1469">
        <v>2.031101873452303</v>
      </c>
      <c r="O3065" s="1469"/>
    </row>
    <row r="3066" spans="11:15">
      <c r="K3066" s="1465">
        <v>45123</v>
      </c>
      <c r="L3066" s="1469"/>
      <c r="M3066" s="850">
        <v>0</v>
      </c>
      <c r="N3066" s="1469">
        <v>2.031101873452303</v>
      </c>
      <c r="O3066" s="1469"/>
    </row>
    <row r="3067" spans="11:15">
      <c r="K3067" s="1465">
        <v>45124</v>
      </c>
      <c r="L3067" s="1469" t="s">
        <v>2125</v>
      </c>
      <c r="M3067" s="850">
        <v>5.0788E-2</v>
      </c>
      <c r="N3067" s="1469">
        <v>2.0321334294717919</v>
      </c>
      <c r="O3067" s="1469"/>
    </row>
    <row r="3068" spans="11:15">
      <c r="K3068" s="1465">
        <v>45125</v>
      </c>
      <c r="L3068" s="1469" t="s">
        <v>2125</v>
      </c>
      <c r="M3068" s="850">
        <v>5.0788E-2</v>
      </c>
      <c r="N3068" s="1469">
        <v>2.0331655093979522</v>
      </c>
      <c r="O3068" s="1469"/>
    </row>
    <row r="3069" spans="11:15">
      <c r="K3069" s="1465">
        <v>45126</v>
      </c>
      <c r="L3069" s="1469" t="s">
        <v>2125</v>
      </c>
      <c r="M3069" s="850">
        <v>5.0788E-2</v>
      </c>
      <c r="N3069" s="1469">
        <v>2.0341981134968652</v>
      </c>
      <c r="O3069" s="1469"/>
    </row>
    <row r="3070" spans="11:15">
      <c r="K3070" s="1465">
        <v>45127</v>
      </c>
      <c r="L3070" s="1469" t="s">
        <v>2125</v>
      </c>
      <c r="M3070" s="850">
        <v>5.0788E-2</v>
      </c>
      <c r="N3070" s="1469">
        <v>2.0352312420347478</v>
      </c>
      <c r="O3070" s="1469"/>
    </row>
    <row r="3071" spans="11:15">
      <c r="K3071" s="1465">
        <v>45128</v>
      </c>
      <c r="L3071" s="1469" t="s">
        <v>2125</v>
      </c>
      <c r="M3071" s="850">
        <v>5.0788E-2</v>
      </c>
      <c r="N3071" s="1469">
        <v>2.0362648952779523</v>
      </c>
      <c r="O3071" s="1469"/>
    </row>
    <row r="3072" spans="11:15">
      <c r="K3072" s="1465">
        <v>45129</v>
      </c>
      <c r="L3072" s="1469"/>
      <c r="M3072" s="850">
        <v>0</v>
      </c>
      <c r="N3072" s="1469">
        <v>2.0362648952779523</v>
      </c>
      <c r="O3072" s="1469"/>
    </row>
    <row r="3073" spans="11:15">
      <c r="K3073" s="1465">
        <v>45130</v>
      </c>
      <c r="L3073" s="1469"/>
      <c r="M3073" s="850">
        <v>0</v>
      </c>
      <c r="N3073" s="1469">
        <v>2.0362648952779523</v>
      </c>
      <c r="O3073" s="1469"/>
    </row>
    <row r="3074" spans="11:15">
      <c r="K3074" s="1465">
        <v>45131</v>
      </c>
      <c r="L3074" s="1469" t="s">
        <v>2125</v>
      </c>
      <c r="M3074" s="850">
        <v>5.0788E-2</v>
      </c>
      <c r="N3074" s="1469">
        <v>2.0372990734929659</v>
      </c>
      <c r="O3074" s="1469"/>
    </row>
    <row r="3075" spans="11:15">
      <c r="K3075" s="1465">
        <v>45132</v>
      </c>
      <c r="L3075" s="1469" t="s">
        <v>2125</v>
      </c>
      <c r="M3075" s="850">
        <v>5.0788E-2</v>
      </c>
      <c r="N3075" s="1469">
        <v>2.0383337769464114</v>
      </c>
      <c r="O3075" s="1469"/>
    </row>
    <row r="3076" spans="11:15">
      <c r="K3076" s="1465">
        <v>45133</v>
      </c>
      <c r="L3076" s="1469" t="s">
        <v>2125</v>
      </c>
      <c r="M3076" s="850">
        <v>5.0788E-2</v>
      </c>
      <c r="N3076" s="1469">
        <v>2.0393690059050469</v>
      </c>
      <c r="O3076" s="1469"/>
    </row>
    <row r="3077" spans="11:15">
      <c r="K3077" s="1465">
        <v>45134</v>
      </c>
      <c r="L3077" s="1469" t="s">
        <v>2125</v>
      </c>
      <c r="M3077" s="850">
        <v>5.0788E-2</v>
      </c>
      <c r="N3077" s="1469">
        <v>2.040404760635766</v>
      </c>
      <c r="O3077" s="1469"/>
    </row>
    <row r="3078" spans="11:15">
      <c r="K3078" s="1465">
        <v>45135</v>
      </c>
      <c r="L3078" s="1469" t="s">
        <v>2125</v>
      </c>
      <c r="M3078" s="850">
        <v>5.0788E-2</v>
      </c>
      <c r="N3078" s="1469">
        <v>2.0414410414055979</v>
      </c>
      <c r="O3078" s="1469"/>
    </row>
    <row r="3079" spans="11:15">
      <c r="K3079" s="1465">
        <v>45136</v>
      </c>
      <c r="L3079" s="1469"/>
      <c r="M3079" s="850">
        <v>0</v>
      </c>
      <c r="N3079" s="1469">
        <v>2.0414410414055979</v>
      </c>
      <c r="O3079" s="1469"/>
    </row>
    <row r="3080" spans="11:15">
      <c r="K3080" s="1465">
        <v>45137</v>
      </c>
      <c r="L3080" s="1469"/>
      <c r="M3080" s="850">
        <v>0</v>
      </c>
      <c r="N3080" s="1469">
        <v>2.0414410414055979</v>
      </c>
      <c r="O3080" s="1469"/>
    </row>
    <row r="3081" spans="11:15">
      <c r="K3081" s="1465">
        <v>45138</v>
      </c>
      <c r="L3081" s="1469" t="s">
        <v>2125</v>
      </c>
      <c r="M3081" s="850">
        <v>5.0788E-2</v>
      </c>
      <c r="N3081" s="1469">
        <v>2.042477848481707</v>
      </c>
      <c r="O3081" s="1469"/>
    </row>
    <row r="3082" spans="11:15">
      <c r="K3082" s="1465">
        <v>45139</v>
      </c>
      <c r="L3082" s="1469" t="s">
        <v>2125</v>
      </c>
      <c r="M3082" s="850">
        <v>5.0788E-2</v>
      </c>
      <c r="N3082" s="1469">
        <v>2.0435151821313937</v>
      </c>
      <c r="O3082" s="1469"/>
    </row>
    <row r="3083" spans="11:15">
      <c r="K3083" s="1465">
        <v>45140</v>
      </c>
      <c r="L3083" s="1469" t="s">
        <v>2125</v>
      </c>
      <c r="M3083" s="850">
        <v>5.0788E-2</v>
      </c>
      <c r="N3083" s="1469">
        <v>2.0445530426220948</v>
      </c>
      <c r="O3083" s="1469"/>
    </row>
    <row r="3084" spans="11:15">
      <c r="K3084" s="1465">
        <v>45141</v>
      </c>
      <c r="L3084" s="1469" t="s">
        <v>2125</v>
      </c>
      <c r="M3084" s="850">
        <v>5.0788E-2</v>
      </c>
      <c r="N3084" s="1469">
        <v>2.0455914302213816</v>
      </c>
      <c r="O3084" s="1469"/>
    </row>
    <row r="3085" spans="11:15">
      <c r="K3085" s="1465">
        <v>45142</v>
      </c>
      <c r="L3085" s="1469" t="s">
        <v>2125</v>
      </c>
      <c r="M3085" s="850">
        <v>5.0788E-2</v>
      </c>
      <c r="N3085" s="1469">
        <v>2.0466303451969625</v>
      </c>
      <c r="O3085" s="1469"/>
    </row>
    <row r="3086" spans="11:15">
      <c r="K3086" s="1465">
        <v>45143</v>
      </c>
      <c r="L3086" s="1469"/>
      <c r="M3086" s="850">
        <v>0</v>
      </c>
      <c r="N3086" s="1469">
        <v>2.0466303451969625</v>
      </c>
      <c r="O3086" s="1469"/>
    </row>
    <row r="3087" spans="11:15">
      <c r="K3087" s="1465">
        <v>45144</v>
      </c>
      <c r="L3087" s="1469"/>
      <c r="M3087" s="850">
        <v>0</v>
      </c>
      <c r="N3087" s="1469">
        <v>2.0466303451969625</v>
      </c>
      <c r="O3087" s="1469"/>
    </row>
    <row r="3088" spans="11:15">
      <c r="K3088" s="1465">
        <v>45145</v>
      </c>
      <c r="L3088" s="1469" t="s">
        <v>2125</v>
      </c>
      <c r="M3088" s="850">
        <v>5.0788E-2</v>
      </c>
      <c r="N3088" s="1469">
        <v>2.0476697878166812</v>
      </c>
      <c r="O3088" s="1469"/>
    </row>
    <row r="3089" spans="11:15">
      <c r="K3089" s="1465">
        <v>45146</v>
      </c>
      <c r="L3089" s="1469" t="s">
        <v>2125</v>
      </c>
      <c r="M3089" s="850">
        <v>5.0788E-2</v>
      </c>
      <c r="N3089" s="1469">
        <v>2.0487097583485174</v>
      </c>
      <c r="O3089" s="1469"/>
    </row>
    <row r="3090" spans="11:15">
      <c r="K3090" s="1465">
        <v>45147</v>
      </c>
      <c r="L3090" s="1469" t="s">
        <v>2125</v>
      </c>
      <c r="M3090" s="850">
        <v>5.0788E-2</v>
      </c>
      <c r="N3090" s="1469">
        <v>2.0497502570605874</v>
      </c>
      <c r="O3090" s="1469"/>
    </row>
    <row r="3091" spans="11:15">
      <c r="K3091" s="1465">
        <v>45148</v>
      </c>
      <c r="L3091" s="1469" t="s">
        <v>2125</v>
      </c>
      <c r="M3091" s="850">
        <v>5.0788E-2</v>
      </c>
      <c r="N3091" s="1469">
        <v>2.0507912842211433</v>
      </c>
      <c r="O3091" s="1469"/>
    </row>
    <row r="3092" spans="11:15">
      <c r="K3092" s="1465">
        <v>45149</v>
      </c>
      <c r="L3092" s="1469" t="s">
        <v>2125</v>
      </c>
      <c r="M3092" s="850">
        <v>5.0788E-2</v>
      </c>
      <c r="N3092" s="1469">
        <v>2.0518328400985735</v>
      </c>
      <c r="O3092" s="1469"/>
    </row>
    <row r="3093" spans="11:15">
      <c r="K3093" s="1465">
        <v>45150</v>
      </c>
      <c r="L3093" s="1469"/>
      <c r="M3093" s="850">
        <v>0</v>
      </c>
      <c r="N3093" s="1469">
        <v>2.0518328400985735</v>
      </c>
      <c r="O3093" s="1469"/>
    </row>
    <row r="3094" spans="11:15">
      <c r="K3094" s="1465">
        <v>45151</v>
      </c>
      <c r="L3094" s="1469"/>
      <c r="M3094" s="850">
        <v>0</v>
      </c>
      <c r="N3094" s="1469">
        <v>2.0518328400985735</v>
      </c>
      <c r="O3094" s="1469"/>
    </row>
    <row r="3095" spans="11:15">
      <c r="K3095" s="1465">
        <v>45152</v>
      </c>
      <c r="L3095" s="1469" t="s">
        <v>2125</v>
      </c>
      <c r="M3095" s="850">
        <v>5.0788E-2</v>
      </c>
      <c r="N3095" s="1469">
        <v>2.0528749249614027</v>
      </c>
      <c r="O3095" s="1469"/>
    </row>
    <row r="3096" spans="11:15">
      <c r="K3096" s="1465">
        <v>45153</v>
      </c>
      <c r="L3096" s="1469" t="s">
        <v>2125</v>
      </c>
      <c r="M3096" s="850">
        <v>5.0788E-2</v>
      </c>
      <c r="N3096" s="1469">
        <v>2.053917539078292</v>
      </c>
      <c r="O3096" s="1469"/>
    </row>
    <row r="3097" spans="11:15">
      <c r="K3097" s="1465">
        <v>45154</v>
      </c>
      <c r="L3097" s="1469" t="s">
        <v>2125</v>
      </c>
      <c r="M3097" s="850">
        <v>5.0788E-2</v>
      </c>
      <c r="N3097" s="1469">
        <v>2.0549606827180393</v>
      </c>
      <c r="O3097" s="1469"/>
    </row>
    <row r="3098" spans="11:15">
      <c r="K3098" s="1465">
        <v>45155</v>
      </c>
      <c r="L3098" s="1469" t="s">
        <v>2125</v>
      </c>
      <c r="M3098" s="850">
        <v>5.0788E-2</v>
      </c>
      <c r="N3098" s="1469">
        <v>2.056004356149578</v>
      </c>
      <c r="O3098" s="1469"/>
    </row>
    <row r="3099" spans="11:15">
      <c r="K3099" s="1465">
        <v>45156</v>
      </c>
      <c r="L3099" s="1469" t="s">
        <v>2125</v>
      </c>
      <c r="M3099" s="850">
        <v>5.0788E-2</v>
      </c>
      <c r="N3099" s="1469">
        <v>2.0570485596419794</v>
      </c>
      <c r="O3099" s="1469"/>
    </row>
    <row r="3100" spans="11:15">
      <c r="K3100" s="1465">
        <v>45157</v>
      </c>
      <c r="L3100" s="1469"/>
      <c r="M3100" s="850">
        <v>0</v>
      </c>
      <c r="N3100" s="1469">
        <v>2.0570485596419794</v>
      </c>
      <c r="O3100" s="1469"/>
    </row>
    <row r="3101" spans="11:15">
      <c r="K3101" s="1465">
        <v>45158</v>
      </c>
      <c r="L3101" s="1469"/>
      <c r="M3101" s="850">
        <v>0</v>
      </c>
      <c r="N3101" s="1469">
        <v>2.0570485596419794</v>
      </c>
      <c r="O3101" s="1469"/>
    </row>
    <row r="3102" spans="11:15">
      <c r="K3102" s="1465">
        <v>45159</v>
      </c>
      <c r="L3102" s="1469" t="s">
        <v>2125</v>
      </c>
      <c r="M3102" s="850">
        <v>5.0788E-2</v>
      </c>
      <c r="N3102" s="1469">
        <v>2.0580932934644505</v>
      </c>
      <c r="O3102" s="1469"/>
    </row>
    <row r="3103" spans="11:15">
      <c r="K3103" s="1465">
        <v>45160</v>
      </c>
      <c r="L3103" s="1469" t="s">
        <v>2125</v>
      </c>
      <c r="M3103" s="850">
        <v>5.0788E-2</v>
      </c>
      <c r="N3103" s="1469">
        <v>2.0591385578863353</v>
      </c>
      <c r="O3103" s="1469"/>
    </row>
    <row r="3104" spans="11:15">
      <c r="K3104" s="1465">
        <v>45161</v>
      </c>
      <c r="L3104" s="1469" t="s">
        <v>2125</v>
      </c>
      <c r="M3104" s="850">
        <v>5.0788E-2</v>
      </c>
      <c r="N3104" s="1469">
        <v>2.0601843531771147</v>
      </c>
      <c r="O3104" s="1469"/>
    </row>
    <row r="3105" spans="11:15">
      <c r="K3105" s="1465">
        <v>45162</v>
      </c>
      <c r="L3105" s="1469" t="s">
        <v>2125</v>
      </c>
      <c r="M3105" s="850">
        <v>5.0788E-2</v>
      </c>
      <c r="N3105" s="1469">
        <v>2.0612306796064064</v>
      </c>
      <c r="O3105" s="1469"/>
    </row>
    <row r="3106" spans="11:15">
      <c r="K3106" s="1465">
        <v>45163</v>
      </c>
      <c r="L3106" s="1469" t="s">
        <v>2125</v>
      </c>
      <c r="M3106" s="850">
        <v>5.0788E-2</v>
      </c>
      <c r="N3106" s="1469">
        <v>2.0622775374439648</v>
      </c>
      <c r="O3106" s="1469"/>
    </row>
    <row r="3107" spans="11:15">
      <c r="K3107" s="1465">
        <v>45164</v>
      </c>
      <c r="L3107" s="1469"/>
      <c r="M3107" s="850">
        <v>0</v>
      </c>
      <c r="N3107" s="1469">
        <v>2.0622775374439648</v>
      </c>
      <c r="O3107" s="1469"/>
    </row>
    <row r="3108" spans="11:15">
      <c r="K3108" s="1465">
        <v>45165</v>
      </c>
      <c r="L3108" s="1469"/>
      <c r="M3108" s="850">
        <v>0</v>
      </c>
      <c r="N3108" s="1469">
        <v>2.0622775374439648</v>
      </c>
      <c r="O3108" s="1469"/>
    </row>
    <row r="3109" spans="11:15">
      <c r="K3109" s="1465">
        <v>45166</v>
      </c>
      <c r="L3109" s="1469" t="s">
        <v>2125</v>
      </c>
      <c r="M3109" s="850">
        <v>5.0788E-2</v>
      </c>
      <c r="N3109" s="1469">
        <v>2.0633249269596821</v>
      </c>
      <c r="O3109" s="1469"/>
    </row>
    <row r="3110" spans="11:15">
      <c r="K3110" s="1465">
        <v>45167</v>
      </c>
      <c r="L3110" s="1469" t="s">
        <v>2125</v>
      </c>
      <c r="M3110" s="850">
        <v>5.0788E-2</v>
      </c>
      <c r="N3110" s="1469">
        <v>2.0643728484235866</v>
      </c>
      <c r="O3110" s="1469"/>
    </row>
    <row r="3111" spans="11:15">
      <c r="K3111" s="1465">
        <v>45168</v>
      </c>
      <c r="L3111" s="1469" t="s">
        <v>2125</v>
      </c>
      <c r="M3111" s="850">
        <v>5.0788E-2</v>
      </c>
      <c r="N3111" s="1469">
        <v>2.0654213021058441</v>
      </c>
      <c r="O3111" s="1469"/>
    </row>
    <row r="3112" spans="11:15">
      <c r="K3112" s="1465">
        <v>45169</v>
      </c>
      <c r="L3112" s="1469" t="s">
        <v>2125</v>
      </c>
      <c r="M3112" s="850">
        <v>5.0788E-2</v>
      </c>
      <c r="N3112" s="1469">
        <v>2.0664702882767578</v>
      </c>
      <c r="O3112" s="1469"/>
    </row>
    <row r="3113" spans="11:15">
      <c r="K3113" s="1465">
        <v>45170</v>
      </c>
      <c r="L3113" s="1469" t="s">
        <v>2125</v>
      </c>
      <c r="M3113" s="850">
        <v>5.0788E-2</v>
      </c>
      <c r="N3113" s="1469">
        <v>2.067519807206768</v>
      </c>
      <c r="O3113" s="1469"/>
    </row>
    <row r="3114" spans="11:15">
      <c r="K3114" s="1465">
        <v>45171</v>
      </c>
      <c r="L3114" s="1469"/>
      <c r="M3114" s="850">
        <v>0</v>
      </c>
      <c r="N3114" s="1469">
        <v>2.067519807206768</v>
      </c>
      <c r="O3114" s="1469"/>
    </row>
    <row r="3115" spans="11:15">
      <c r="K3115" s="1465">
        <v>45172</v>
      </c>
      <c r="L3115" s="1469"/>
      <c r="M3115" s="850">
        <v>0</v>
      </c>
      <c r="N3115" s="1469">
        <v>2.067519807206768</v>
      </c>
      <c r="O3115" s="1469"/>
    </row>
    <row r="3116" spans="11:15">
      <c r="K3116" s="1465">
        <v>45173</v>
      </c>
      <c r="L3116" s="1469" t="s">
        <v>2125</v>
      </c>
      <c r="M3116" s="850">
        <v>5.0788E-2</v>
      </c>
      <c r="N3116" s="1469">
        <v>2.0685698591664523</v>
      </c>
      <c r="O3116" s="1469"/>
    </row>
    <row r="3117" spans="11:15">
      <c r="K3117" s="1465">
        <v>45174</v>
      </c>
      <c r="L3117" s="1469" t="s">
        <v>2125</v>
      </c>
      <c r="M3117" s="850">
        <v>5.0788E-2</v>
      </c>
      <c r="N3117" s="1469">
        <v>2.0696204444265258</v>
      </c>
      <c r="O3117" s="1469"/>
    </row>
    <row r="3118" spans="11:15">
      <c r="K3118" s="1465">
        <v>45175</v>
      </c>
      <c r="L3118" s="1469" t="s">
        <v>2125</v>
      </c>
      <c r="M3118" s="850">
        <v>5.0788E-2</v>
      </c>
      <c r="N3118" s="1469">
        <v>2.0706715632578412</v>
      </c>
      <c r="O3118" s="1469"/>
    </row>
    <row r="3119" spans="11:15">
      <c r="K3119" s="1465">
        <v>45176</v>
      </c>
      <c r="L3119" s="1469"/>
      <c r="M3119" s="850">
        <v>0</v>
      </c>
      <c r="N3119" s="1469">
        <v>2.0706715632578412</v>
      </c>
      <c r="O3119" s="1469"/>
    </row>
    <row r="3120" spans="11:15">
      <c r="K3120" s="1465">
        <v>45177</v>
      </c>
      <c r="L3120" s="1469" t="s">
        <v>2125</v>
      </c>
      <c r="M3120" s="850">
        <v>5.0788E-2</v>
      </c>
      <c r="N3120" s="1469">
        <v>2.0717232159313888</v>
      </c>
      <c r="O3120" s="1469"/>
    </row>
    <row r="3121" spans="11:15">
      <c r="K3121" s="1465">
        <v>45178</v>
      </c>
      <c r="L3121" s="1469"/>
      <c r="M3121" s="850">
        <v>0</v>
      </c>
      <c r="N3121" s="1469">
        <v>2.0717232159313888</v>
      </c>
      <c r="O3121" s="1469"/>
    </row>
    <row r="3122" spans="11:15">
      <c r="K3122" s="1465">
        <v>45179</v>
      </c>
      <c r="L3122" s="1469"/>
      <c r="M3122" s="850">
        <v>0</v>
      </c>
      <c r="N3122" s="1469">
        <v>2.0717232159313888</v>
      </c>
      <c r="O3122" s="1469"/>
    </row>
    <row r="3123" spans="11:15">
      <c r="K3123" s="1465">
        <v>45180</v>
      </c>
      <c r="L3123" s="1469" t="s">
        <v>2125</v>
      </c>
      <c r="M3123" s="850">
        <v>5.0788E-2</v>
      </c>
      <c r="N3123" s="1469">
        <v>2.0727754027182961</v>
      </c>
      <c r="O3123" s="1469"/>
    </row>
    <row r="3124" spans="11:15">
      <c r="K3124" s="1465">
        <v>45181</v>
      </c>
      <c r="L3124" s="1469" t="s">
        <v>2125</v>
      </c>
      <c r="M3124" s="850">
        <v>5.0788E-2</v>
      </c>
      <c r="N3124" s="1469">
        <v>2.0738281238898288</v>
      </c>
      <c r="O3124" s="1469"/>
    </row>
    <row r="3125" spans="11:15">
      <c r="K3125" s="1465">
        <v>45182</v>
      </c>
      <c r="L3125" s="1469" t="s">
        <v>2125</v>
      </c>
      <c r="M3125" s="850">
        <v>5.0788E-2</v>
      </c>
      <c r="N3125" s="1469">
        <v>2.07488137971739</v>
      </c>
      <c r="O3125" s="1469"/>
    </row>
    <row r="3126" spans="11:15">
      <c r="K3126" s="1465">
        <v>45183</v>
      </c>
      <c r="L3126" s="1469" t="s">
        <v>2125</v>
      </c>
      <c r="M3126" s="850">
        <v>5.0788E-2</v>
      </c>
      <c r="N3126" s="1469">
        <v>2.0759351704725209</v>
      </c>
      <c r="O3126" s="1469"/>
    </row>
    <row r="3127" spans="11:15">
      <c r="K3127" s="1465">
        <v>45184</v>
      </c>
      <c r="L3127" s="1469" t="s">
        <v>2125</v>
      </c>
      <c r="M3127" s="850">
        <v>5.0788E-2</v>
      </c>
      <c r="N3127" s="1469">
        <v>2.0769894964269007</v>
      </c>
      <c r="O3127" s="1469"/>
    </row>
    <row r="3128" spans="11:15">
      <c r="K3128" s="1465">
        <v>45185</v>
      </c>
      <c r="L3128" s="1469"/>
      <c r="M3128" s="850">
        <v>0</v>
      </c>
      <c r="N3128" s="1469">
        <v>2.0769894964269007</v>
      </c>
      <c r="O3128" s="1469"/>
    </row>
    <row r="3129" spans="11:15">
      <c r="K3129" s="1465">
        <v>45186</v>
      </c>
      <c r="L3129" s="1469"/>
      <c r="M3129" s="850">
        <v>0</v>
      </c>
      <c r="N3129" s="1469">
        <v>2.0769894964269007</v>
      </c>
      <c r="O3129" s="1469"/>
    </row>
    <row r="3130" spans="11:15">
      <c r="K3130" s="1465">
        <v>45187</v>
      </c>
      <c r="L3130" s="1469" t="s">
        <v>2125</v>
      </c>
      <c r="M3130" s="850">
        <v>5.0788E-2</v>
      </c>
      <c r="N3130" s="1469">
        <v>2.0780443578523462</v>
      </c>
      <c r="O3130" s="1469"/>
    </row>
    <row r="3131" spans="11:15">
      <c r="K3131" s="1465">
        <v>45188</v>
      </c>
      <c r="L3131" s="1469" t="s">
        <v>2125</v>
      </c>
      <c r="M3131" s="850">
        <v>5.0788E-2</v>
      </c>
      <c r="N3131" s="1469">
        <v>2.0790997550208123</v>
      </c>
      <c r="O3131" s="1469"/>
    </row>
    <row r="3132" spans="11:15">
      <c r="K3132" s="1465">
        <v>45189</v>
      </c>
      <c r="L3132" s="1469" t="s">
        <v>2125</v>
      </c>
      <c r="M3132" s="850">
        <v>5.0788E-2</v>
      </c>
      <c r="N3132" s="1469">
        <v>2.0801556882043926</v>
      </c>
      <c r="O3132" s="1469"/>
    </row>
    <row r="3133" spans="11:15">
      <c r="K3133" s="1465">
        <v>45190</v>
      </c>
      <c r="L3133" s="1469" t="s">
        <v>2125</v>
      </c>
      <c r="M3133" s="850">
        <v>5.0788E-2</v>
      </c>
      <c r="N3133" s="1469">
        <v>2.081212157675318</v>
      </c>
      <c r="O3133" s="1469"/>
    </row>
    <row r="3134" spans="11:15">
      <c r="K3134" s="1465">
        <v>45191</v>
      </c>
      <c r="L3134" s="1469" t="s">
        <v>2125</v>
      </c>
      <c r="M3134" s="850">
        <v>5.0788E-2</v>
      </c>
      <c r="N3134" s="1469">
        <v>2.0822691637059583</v>
      </c>
      <c r="O3134" s="1469"/>
    </row>
    <row r="3135" spans="11:15">
      <c r="K3135" s="1465">
        <v>45192</v>
      </c>
      <c r="L3135" s="1469"/>
      <c r="M3135" s="850">
        <v>0</v>
      </c>
      <c r="N3135" s="1469">
        <v>2.0822691637059583</v>
      </c>
      <c r="O3135" s="1469"/>
    </row>
    <row r="3136" spans="11:15">
      <c r="K3136" s="1465">
        <v>45193</v>
      </c>
      <c r="L3136" s="1469"/>
      <c r="M3136" s="850">
        <v>0</v>
      </c>
      <c r="N3136" s="1469">
        <v>2.0822691637059583</v>
      </c>
      <c r="O3136" s="1469"/>
    </row>
    <row r="3137" spans="11:15">
      <c r="K3137" s="1465">
        <v>45194</v>
      </c>
      <c r="L3137" s="1469" t="s">
        <v>2125</v>
      </c>
      <c r="M3137" s="850">
        <v>5.0788E-2</v>
      </c>
      <c r="N3137" s="1469">
        <v>2.0833267065688212</v>
      </c>
      <c r="O3137" s="1469"/>
    </row>
    <row r="3138" spans="11:15">
      <c r="K3138" s="1465">
        <v>45195</v>
      </c>
      <c r="L3138" s="1469" t="s">
        <v>2125</v>
      </c>
      <c r="M3138" s="850">
        <v>5.0788E-2</v>
      </c>
      <c r="N3138" s="1469">
        <v>2.0843847865365532</v>
      </c>
      <c r="O3138" s="1469"/>
    </row>
    <row r="3139" spans="11:15">
      <c r="K3139" s="1465">
        <v>45196</v>
      </c>
      <c r="L3139" s="1469" t="s">
        <v>2125</v>
      </c>
      <c r="M3139" s="850">
        <v>5.0788E-2</v>
      </c>
      <c r="N3139" s="1469">
        <v>2.0854434038819396</v>
      </c>
      <c r="O3139" s="1469"/>
    </row>
    <row r="3140" spans="11:15">
      <c r="K3140" s="1465">
        <v>45197</v>
      </c>
      <c r="L3140" s="1469" t="s">
        <v>2125</v>
      </c>
      <c r="M3140" s="850">
        <v>5.0788E-2</v>
      </c>
      <c r="N3140" s="1469">
        <v>2.0865025588779034</v>
      </c>
      <c r="O3140" s="1469"/>
    </row>
    <row r="3141" spans="11:15">
      <c r="K3141" s="1465">
        <v>45198</v>
      </c>
      <c r="L3141" s="1469" t="s">
        <v>2125</v>
      </c>
      <c r="M3141" s="850">
        <v>5.0788E-2</v>
      </c>
      <c r="N3141" s="1469">
        <v>2.0875622517975061</v>
      </c>
      <c r="O3141" s="1469"/>
    </row>
    <row r="3142" spans="11:15">
      <c r="K3142" s="1465">
        <v>45199</v>
      </c>
      <c r="L3142" s="1469"/>
      <c r="M3142" s="850">
        <v>0</v>
      </c>
      <c r="N3142" s="1469">
        <v>2.0875622517975061</v>
      </c>
      <c r="O3142" s="1469"/>
    </row>
    <row r="3143" spans="11:15">
      <c r="K3143" s="1465">
        <v>45200</v>
      </c>
      <c r="L3143" s="1469"/>
      <c r="M3143" s="850">
        <v>0</v>
      </c>
      <c r="N3143" s="1469">
        <v>2.0875622517975061</v>
      </c>
      <c r="O3143" s="1469"/>
    </row>
    <row r="3144" spans="11:15">
      <c r="K3144" s="1465">
        <v>45201</v>
      </c>
      <c r="L3144" s="1469" t="s">
        <v>2125</v>
      </c>
      <c r="M3144" s="850">
        <v>5.0788E-2</v>
      </c>
      <c r="N3144" s="1469">
        <v>2.0886224829139493</v>
      </c>
      <c r="O3144" s="1469"/>
    </row>
    <row r="3145" spans="11:15">
      <c r="K3145" s="1465">
        <v>45202</v>
      </c>
      <c r="L3145" s="1469" t="s">
        <v>2125</v>
      </c>
      <c r="M3145" s="850">
        <v>5.0788E-2</v>
      </c>
      <c r="N3145" s="1469">
        <v>2.0896832525005715</v>
      </c>
      <c r="O3145" s="1469"/>
    </row>
    <row r="3146" spans="11:15">
      <c r="K3146" s="1465">
        <v>45203</v>
      </c>
      <c r="L3146" s="1469" t="s">
        <v>2125</v>
      </c>
      <c r="M3146" s="850">
        <v>5.0788E-2</v>
      </c>
      <c r="N3146" s="1469">
        <v>2.0907445608308515</v>
      </c>
      <c r="O3146" s="1469"/>
    </row>
    <row r="3147" spans="11:15">
      <c r="K3147" s="1465">
        <v>45204</v>
      </c>
      <c r="L3147" s="1469" t="s">
        <v>2125</v>
      </c>
      <c r="M3147" s="850">
        <v>5.0788E-2</v>
      </c>
      <c r="N3147" s="1469">
        <v>2.0918064081784062</v>
      </c>
      <c r="O3147" s="1469"/>
    </row>
    <row r="3148" spans="11:15">
      <c r="K3148" s="1465">
        <v>45205</v>
      </c>
      <c r="L3148" s="1469" t="s">
        <v>2125</v>
      </c>
      <c r="M3148" s="850">
        <v>5.0788E-2</v>
      </c>
      <c r="N3148" s="1469">
        <v>2.092868794816992</v>
      </c>
      <c r="O3148" s="1469"/>
    </row>
    <row r="3149" spans="11:15">
      <c r="K3149" s="1465">
        <v>45206</v>
      </c>
      <c r="L3149" s="1469"/>
      <c r="M3149" s="850">
        <v>0</v>
      </c>
      <c r="N3149" s="1469">
        <v>2.092868794816992</v>
      </c>
      <c r="O3149" s="1469"/>
    </row>
    <row r="3150" spans="11:15">
      <c r="K3150" s="1465">
        <v>45207</v>
      </c>
      <c r="L3150" s="1469"/>
      <c r="M3150" s="850">
        <v>0</v>
      </c>
      <c r="N3150" s="1469">
        <v>2.092868794816992</v>
      </c>
      <c r="O3150" s="1469"/>
    </row>
    <row r="3151" spans="11:15">
      <c r="K3151" s="1465">
        <v>45208</v>
      </c>
      <c r="L3151" s="1469" t="s">
        <v>2125</v>
      </c>
      <c r="M3151" s="850">
        <v>5.0788E-2</v>
      </c>
      <c r="N3151" s="1469">
        <v>2.0939317210205037</v>
      </c>
      <c r="O3151" s="1469"/>
    </row>
    <row r="3152" spans="11:15">
      <c r="K3152" s="1465">
        <v>45209</v>
      </c>
      <c r="L3152" s="1469" t="s">
        <v>2125</v>
      </c>
      <c r="M3152" s="850">
        <v>5.0788E-2</v>
      </c>
      <c r="N3152" s="1469">
        <v>2.0949951870629757</v>
      </c>
      <c r="O3152" s="1469"/>
    </row>
    <row r="3153" spans="11:15">
      <c r="K3153" s="1465">
        <v>45210</v>
      </c>
      <c r="L3153" s="1469" t="s">
        <v>2125</v>
      </c>
      <c r="M3153" s="850">
        <v>5.0788E-2</v>
      </c>
      <c r="N3153" s="1469">
        <v>2.0960591932185815</v>
      </c>
      <c r="O3153" s="1469"/>
    </row>
    <row r="3154" spans="11:15">
      <c r="K3154" s="1465">
        <v>45211</v>
      </c>
      <c r="L3154" s="1469"/>
      <c r="M3154" s="850">
        <v>0</v>
      </c>
      <c r="N3154" s="1469">
        <v>2.0960591932185815</v>
      </c>
      <c r="O3154" s="1469"/>
    </row>
    <row r="3155" spans="11:15">
      <c r="K3155" s="1465">
        <v>45212</v>
      </c>
      <c r="L3155" s="1469" t="s">
        <v>2125</v>
      </c>
      <c r="M3155" s="850">
        <v>5.0788E-2</v>
      </c>
      <c r="N3155" s="1469">
        <v>2.0971237397616336</v>
      </c>
      <c r="O3155" s="1469"/>
    </row>
    <row r="3156" spans="11:15">
      <c r="K3156" s="1465">
        <v>45213</v>
      </c>
      <c r="L3156" s="1469"/>
      <c r="M3156" s="850">
        <v>0</v>
      </c>
      <c r="N3156" s="1469">
        <v>2.0971237397616336</v>
      </c>
      <c r="O3156" s="1469"/>
    </row>
    <row r="3157" spans="11:15">
      <c r="K3157" s="1465">
        <v>45214</v>
      </c>
      <c r="L3157" s="1469"/>
      <c r="M3157" s="850">
        <v>0</v>
      </c>
      <c r="N3157" s="1469">
        <v>2.0971237397616336</v>
      </c>
      <c r="O3157" s="1469"/>
    </row>
    <row r="3158" spans="11:15">
      <c r="K3158" s="1465">
        <v>45215</v>
      </c>
      <c r="L3158" s="1469" t="s">
        <v>2125</v>
      </c>
      <c r="M3158" s="850">
        <v>5.0788E-2</v>
      </c>
      <c r="N3158" s="1469">
        <v>2.0981888269665836</v>
      </c>
      <c r="O3158" s="1469"/>
    </row>
    <row r="3159" spans="11:15">
      <c r="K3159" s="1465">
        <v>45216</v>
      </c>
      <c r="L3159" s="1469" t="s">
        <v>2125</v>
      </c>
      <c r="M3159" s="850">
        <v>5.0788E-2</v>
      </c>
      <c r="N3159" s="1469">
        <v>2.0992544551080234</v>
      </c>
      <c r="O3159" s="1469"/>
    </row>
    <row r="3160" spans="11:15">
      <c r="K3160" s="1465">
        <v>45217</v>
      </c>
      <c r="L3160" s="1469" t="s">
        <v>2125</v>
      </c>
      <c r="M3160" s="850">
        <v>5.0788E-2</v>
      </c>
      <c r="N3160" s="1469">
        <v>2.1003206244606836</v>
      </c>
      <c r="O3160" s="1469"/>
    </row>
    <row r="3161" spans="11:15">
      <c r="K3161" s="1465">
        <v>45218</v>
      </c>
      <c r="L3161" s="1469" t="s">
        <v>2125</v>
      </c>
      <c r="M3161" s="850">
        <v>5.0788E-2</v>
      </c>
      <c r="N3161" s="1469">
        <v>2.1013873352994348</v>
      </c>
      <c r="O3161" s="1469"/>
    </row>
    <row r="3162" spans="11:15">
      <c r="K3162" s="1465">
        <v>45219</v>
      </c>
      <c r="L3162" s="1469" t="s">
        <v>2125</v>
      </c>
      <c r="M3162" s="850">
        <v>5.0788E-2</v>
      </c>
      <c r="N3162" s="1469">
        <v>2.1024545878992869</v>
      </c>
      <c r="O3162" s="1469"/>
    </row>
    <row r="3163" spans="11:15">
      <c r="K3163" s="1465">
        <v>45220</v>
      </c>
      <c r="L3163" s="1469"/>
      <c r="M3163" s="850">
        <v>0</v>
      </c>
      <c r="N3163" s="1469">
        <v>2.1024545878992869</v>
      </c>
      <c r="O3163" s="1469"/>
    </row>
    <row r="3164" spans="11:15">
      <c r="K3164" s="1465">
        <v>45221</v>
      </c>
      <c r="L3164" s="1469"/>
      <c r="M3164" s="850">
        <v>0</v>
      </c>
      <c r="N3164" s="1469">
        <v>2.1024545878992869</v>
      </c>
      <c r="O3164" s="1469"/>
    </row>
    <row r="3165" spans="11:15">
      <c r="K3165" s="1465">
        <v>45222</v>
      </c>
      <c r="L3165" s="1469" t="s">
        <v>2125</v>
      </c>
      <c r="M3165" s="850">
        <v>5.0788E-2</v>
      </c>
      <c r="N3165" s="1469">
        <v>2.103522382535389</v>
      </c>
      <c r="O3165" s="1469"/>
    </row>
    <row r="3166" spans="11:15">
      <c r="K3166" s="1465">
        <v>45223</v>
      </c>
      <c r="L3166" s="1469" t="s">
        <v>2125</v>
      </c>
      <c r="M3166" s="850">
        <v>5.0788E-2</v>
      </c>
      <c r="N3166" s="1469">
        <v>2.1045907194830313</v>
      </c>
      <c r="O3166" s="1469"/>
    </row>
    <row r="3167" spans="11:15">
      <c r="K3167" s="1465">
        <v>45224</v>
      </c>
      <c r="L3167" s="1469" t="s">
        <v>2125</v>
      </c>
      <c r="M3167" s="850">
        <v>5.0788E-2</v>
      </c>
      <c r="N3167" s="1469">
        <v>2.1056595990176423</v>
      </c>
      <c r="O3167" s="1469"/>
    </row>
    <row r="3168" spans="11:15">
      <c r="K3168" s="1465">
        <v>45225</v>
      </c>
      <c r="L3168" s="1469" t="s">
        <v>2125</v>
      </c>
      <c r="M3168" s="850">
        <v>5.0788E-2</v>
      </c>
      <c r="N3168" s="1469">
        <v>2.1067290214147913</v>
      </c>
      <c r="O3168" s="1469"/>
    </row>
    <row r="3169" spans="11:15">
      <c r="K3169" s="1465">
        <v>45226</v>
      </c>
      <c r="L3169" s="1469" t="s">
        <v>2125</v>
      </c>
      <c r="M3169" s="850">
        <v>5.0788E-2</v>
      </c>
      <c r="N3169" s="1469">
        <v>2.1077989869501876</v>
      </c>
      <c r="O3169" s="1469"/>
    </row>
    <row r="3170" spans="11:15">
      <c r="K3170" s="1465">
        <v>45227</v>
      </c>
      <c r="L3170" s="1469"/>
      <c r="M3170" s="850">
        <v>0</v>
      </c>
      <c r="N3170" s="1469">
        <v>2.1077989869501876</v>
      </c>
      <c r="O3170" s="1469"/>
    </row>
    <row r="3171" spans="11:15">
      <c r="K3171" s="1465">
        <v>45228</v>
      </c>
      <c r="L3171" s="1469"/>
      <c r="M3171" s="850">
        <v>0</v>
      </c>
      <c r="N3171" s="1469">
        <v>2.1077989869501876</v>
      </c>
      <c r="O3171" s="1469"/>
    </row>
    <row r="3172" spans="11:15">
      <c r="K3172" s="1465">
        <v>45229</v>
      </c>
      <c r="L3172" s="1469" t="s">
        <v>2125</v>
      </c>
      <c r="M3172" s="850">
        <v>5.0788E-2</v>
      </c>
      <c r="N3172" s="1469">
        <v>2.1088694958996799</v>
      </c>
      <c r="O3172" s="1469"/>
    </row>
    <row r="3173" spans="11:15">
      <c r="K3173" s="1465">
        <v>45230</v>
      </c>
      <c r="L3173" s="1469" t="s">
        <v>2125</v>
      </c>
      <c r="M3173" s="850">
        <v>5.0788E-2</v>
      </c>
      <c r="N3173" s="1469">
        <v>2.1099405485392575</v>
      </c>
      <c r="O3173" s="1469"/>
    </row>
    <row r="3174" spans="11:15">
      <c r="K3174" s="1465">
        <v>45231</v>
      </c>
      <c r="L3174" s="1469" t="s">
        <v>2125</v>
      </c>
      <c r="M3174" s="850">
        <v>5.0788E-2</v>
      </c>
      <c r="N3174" s="1469">
        <v>2.1110121451450499</v>
      </c>
      <c r="O3174" s="1469"/>
    </row>
    <row r="3175" spans="11:15">
      <c r="K3175" s="1465">
        <v>45232</v>
      </c>
      <c r="L3175" s="1469"/>
      <c r="M3175" s="850">
        <v>0</v>
      </c>
      <c r="N3175" s="1469">
        <v>2.1110121451450499</v>
      </c>
      <c r="O3175" s="1469"/>
    </row>
    <row r="3176" spans="11:15">
      <c r="K3176" s="1465">
        <v>45233</v>
      </c>
      <c r="L3176" s="1469" t="s">
        <v>2125</v>
      </c>
      <c r="M3176" s="850">
        <v>5.0788E-2</v>
      </c>
      <c r="N3176" s="1469">
        <v>2.1120842859933262</v>
      </c>
      <c r="O3176" s="1469"/>
    </row>
    <row r="3177" spans="11:15">
      <c r="K3177" s="1465">
        <v>45234</v>
      </c>
      <c r="L3177" s="1469"/>
      <c r="M3177" s="850">
        <v>0</v>
      </c>
      <c r="N3177" s="1469">
        <v>2.1120842859933262</v>
      </c>
      <c r="O3177" s="1469"/>
    </row>
    <row r="3178" spans="11:15">
      <c r="K3178" s="1465">
        <v>45235</v>
      </c>
      <c r="L3178" s="1469"/>
      <c r="M3178" s="850">
        <v>0</v>
      </c>
      <c r="N3178" s="1469">
        <v>2.1120842859933262</v>
      </c>
      <c r="O3178" s="1469"/>
    </row>
    <row r="3179" spans="11:15">
      <c r="K3179" s="1465">
        <v>45236</v>
      </c>
      <c r="L3179" s="1469" t="s">
        <v>2125</v>
      </c>
      <c r="M3179" s="850">
        <v>5.0788E-2</v>
      </c>
      <c r="N3179" s="1469">
        <v>2.1131569713604965</v>
      </c>
      <c r="O3179" s="1469"/>
    </row>
    <row r="3180" spans="11:15">
      <c r="K3180" s="1465">
        <v>45237</v>
      </c>
      <c r="L3180" s="1469" t="s">
        <v>2125</v>
      </c>
      <c r="M3180" s="850">
        <v>5.0788E-2</v>
      </c>
      <c r="N3180" s="1469">
        <v>2.1142302015231111</v>
      </c>
      <c r="O3180" s="1469"/>
    </row>
    <row r="3181" spans="11:15">
      <c r="K3181" s="1465">
        <v>45238</v>
      </c>
      <c r="L3181" s="1469" t="s">
        <v>2125</v>
      </c>
      <c r="M3181" s="850">
        <v>5.0788E-2</v>
      </c>
      <c r="N3181" s="1469">
        <v>2.1153039767578607</v>
      </c>
      <c r="O3181" s="1469"/>
    </row>
    <row r="3182" spans="11:15">
      <c r="K3182" s="1465">
        <v>45239</v>
      </c>
      <c r="L3182" s="1469" t="s">
        <v>2125</v>
      </c>
      <c r="M3182" s="850">
        <v>5.0788E-2</v>
      </c>
      <c r="N3182" s="1469">
        <v>2.1163782973415768</v>
      </c>
      <c r="O3182" s="1469"/>
    </row>
    <row r="3183" spans="11:15">
      <c r="K3183" s="1465">
        <v>45240</v>
      </c>
      <c r="L3183" s="1469" t="s">
        <v>2125</v>
      </c>
      <c r="M3183" s="850">
        <v>5.0788E-2</v>
      </c>
      <c r="N3183" s="1469">
        <v>2.1174531635512306</v>
      </c>
      <c r="O3183" s="1469"/>
    </row>
    <row r="3184" spans="11:15">
      <c r="K3184" s="1465">
        <v>45241</v>
      </c>
      <c r="L3184" s="1469"/>
      <c r="M3184" s="850">
        <v>0</v>
      </c>
      <c r="N3184" s="1469">
        <v>2.1174531635512306</v>
      </c>
      <c r="O3184" s="1469"/>
    </row>
    <row r="3185" spans="11:15">
      <c r="K3185" s="1465">
        <v>45242</v>
      </c>
      <c r="L3185" s="1469"/>
      <c r="M3185" s="850">
        <v>0</v>
      </c>
      <c r="N3185" s="1469">
        <v>2.1174531635512306</v>
      </c>
      <c r="O3185" s="1469"/>
    </row>
    <row r="3186" spans="11:15">
      <c r="K3186" s="1465">
        <v>45243</v>
      </c>
      <c r="L3186" s="1469" t="s">
        <v>2125</v>
      </c>
      <c r="M3186" s="850">
        <v>5.0788E-2</v>
      </c>
      <c r="N3186" s="1469">
        <v>2.1185285756639352</v>
      </c>
      <c r="O3186" s="1469"/>
    </row>
    <row r="3187" spans="11:15">
      <c r="K3187" s="1465">
        <v>45244</v>
      </c>
      <c r="L3187" s="1469" t="s">
        <v>2125</v>
      </c>
      <c r="M3187" s="850">
        <v>5.0788E-2</v>
      </c>
      <c r="N3187" s="1469">
        <v>2.1196045339569434</v>
      </c>
      <c r="O3187" s="1469"/>
    </row>
    <row r="3188" spans="11:15">
      <c r="K3188" s="1465">
        <v>45245</v>
      </c>
      <c r="L3188" s="1469"/>
      <c r="M3188" s="850">
        <v>0</v>
      </c>
      <c r="N3188" s="1469">
        <v>2.1196045339569434</v>
      </c>
      <c r="O3188" s="1469"/>
    </row>
    <row r="3189" spans="11:15">
      <c r="K3189" s="1465">
        <v>45246</v>
      </c>
      <c r="L3189" s="1469" t="s">
        <v>2125</v>
      </c>
      <c r="M3189" s="850">
        <v>5.0788E-2</v>
      </c>
      <c r="N3189" s="1469">
        <v>2.1206810387076493</v>
      </c>
      <c r="O3189" s="1469"/>
    </row>
    <row r="3190" spans="11:15">
      <c r="K3190" s="1465">
        <v>45247</v>
      </c>
      <c r="L3190" s="1469" t="s">
        <v>2125</v>
      </c>
      <c r="M3190" s="850">
        <v>5.0788E-2</v>
      </c>
      <c r="N3190" s="1469">
        <v>2.1217580901935884</v>
      </c>
      <c r="O3190" s="1469"/>
    </row>
    <row r="3191" spans="11:15">
      <c r="K3191" s="1465">
        <v>45248</v>
      </c>
      <c r="L3191" s="1469"/>
      <c r="M3191" s="850">
        <v>0</v>
      </c>
      <c r="N3191" s="1469">
        <v>2.1217580901935884</v>
      </c>
      <c r="O3191" s="1469"/>
    </row>
    <row r="3192" spans="11:15">
      <c r="K3192" s="1465">
        <v>45249</v>
      </c>
      <c r="L3192" s="1469"/>
      <c r="M3192" s="850">
        <v>0</v>
      </c>
      <c r="N3192" s="1469">
        <v>2.1217580901935884</v>
      </c>
      <c r="O3192" s="1469"/>
    </row>
    <row r="3193" spans="11:15">
      <c r="K3193" s="1465">
        <v>45250</v>
      </c>
      <c r="L3193" s="1469" t="s">
        <v>2125</v>
      </c>
      <c r="M3193" s="850">
        <v>5.0788E-2</v>
      </c>
      <c r="N3193" s="1469">
        <v>2.1228356886924358</v>
      </c>
      <c r="O3193" s="1469"/>
    </row>
    <row r="3194" spans="11:15">
      <c r="K3194" s="1465">
        <v>45251</v>
      </c>
      <c r="L3194" s="1469" t="s">
        <v>2125</v>
      </c>
      <c r="M3194" s="850">
        <v>5.0788E-2</v>
      </c>
      <c r="N3194" s="1469">
        <v>2.1239138344820088</v>
      </c>
      <c r="O3194" s="1469"/>
    </row>
    <row r="3195" spans="11:15">
      <c r="K3195" s="1465">
        <v>45252</v>
      </c>
      <c r="L3195" s="1469" t="s">
        <v>2125</v>
      </c>
      <c r="M3195" s="850">
        <v>5.0788E-2</v>
      </c>
      <c r="N3195" s="1469">
        <v>2.1249925278402655</v>
      </c>
      <c r="O3195" s="1469"/>
    </row>
    <row r="3196" spans="11:15">
      <c r="K3196" s="1465">
        <v>45253</v>
      </c>
      <c r="L3196" s="1469" t="s">
        <v>2125</v>
      </c>
      <c r="M3196" s="850">
        <v>5.0788E-2</v>
      </c>
      <c r="N3196" s="1469">
        <v>2.1260717690453048</v>
      </c>
      <c r="O3196" s="1469"/>
    </row>
    <row r="3197" spans="11:15">
      <c r="K3197" s="1465">
        <v>45254</v>
      </c>
      <c r="L3197" s="1469" t="s">
        <v>2125</v>
      </c>
      <c r="M3197" s="850">
        <v>5.0788E-2</v>
      </c>
      <c r="N3197" s="1469">
        <v>2.1271515583753677</v>
      </c>
      <c r="O3197" s="1469"/>
    </row>
    <row r="3198" spans="11:15">
      <c r="K3198" s="1465">
        <v>45255</v>
      </c>
      <c r="L3198" s="1469"/>
      <c r="M3198" s="850">
        <v>0</v>
      </c>
      <c r="N3198" s="1469">
        <v>2.1271515583753677</v>
      </c>
      <c r="O3198" s="1469"/>
    </row>
    <row r="3199" spans="11:15">
      <c r="K3199" s="1465">
        <v>45256</v>
      </c>
      <c r="L3199" s="1469"/>
      <c r="M3199" s="850">
        <v>0</v>
      </c>
      <c r="N3199" s="1469">
        <v>2.1271515583753677</v>
      </c>
      <c r="O3199" s="1469"/>
    </row>
    <row r="3200" spans="11:15">
      <c r="K3200" s="1465">
        <v>45257</v>
      </c>
      <c r="L3200" s="1469" t="s">
        <v>2125</v>
      </c>
      <c r="M3200" s="850">
        <v>5.0788E-2</v>
      </c>
      <c r="N3200" s="1469">
        <v>2.1282318961088356</v>
      </c>
      <c r="O3200" s="1469"/>
    </row>
    <row r="3201" spans="11:15">
      <c r="K3201" s="1465">
        <v>45258</v>
      </c>
      <c r="L3201" s="1469" t="s">
        <v>2125</v>
      </c>
      <c r="M3201" s="850">
        <v>5.0788E-2</v>
      </c>
      <c r="N3201" s="1469">
        <v>2.1293127825242313</v>
      </c>
      <c r="O3201" s="1469"/>
    </row>
    <row r="3202" spans="11:15">
      <c r="K3202" s="1465">
        <v>45259</v>
      </c>
      <c r="L3202" s="1469" t="s">
        <v>2125</v>
      </c>
      <c r="M3202" s="850">
        <v>5.0788E-2</v>
      </c>
      <c r="N3202" s="1469">
        <v>2.1303942179002195</v>
      </c>
      <c r="O3202" s="1469"/>
    </row>
    <row r="3203" spans="11:15">
      <c r="K3203" s="1465">
        <v>45260</v>
      </c>
      <c r="L3203" s="1469" t="s">
        <v>2125</v>
      </c>
      <c r="M3203" s="850">
        <v>5.0788E-2</v>
      </c>
      <c r="N3203" s="1469">
        <v>2.1314762025156067</v>
      </c>
      <c r="O3203" s="1469"/>
    </row>
    <row r="3204" spans="11:15">
      <c r="K3204" s="1465">
        <v>45261</v>
      </c>
      <c r="L3204" s="1469" t="s">
        <v>2125</v>
      </c>
      <c r="M3204" s="850">
        <v>5.0788E-2</v>
      </c>
      <c r="N3204" s="1469">
        <v>2.1325587366493401</v>
      </c>
      <c r="O3204" s="1469"/>
    </row>
    <row r="3205" spans="11:15">
      <c r="K3205" s="1465">
        <v>45262</v>
      </c>
      <c r="L3205" s="1469"/>
      <c r="M3205" s="850">
        <v>0</v>
      </c>
      <c r="N3205" s="1469">
        <v>2.1325587366493401</v>
      </c>
      <c r="O3205" s="1469"/>
    </row>
    <row r="3206" spans="11:15">
      <c r="K3206" s="1465">
        <v>45263</v>
      </c>
      <c r="L3206" s="1469"/>
      <c r="M3206" s="850">
        <v>0</v>
      </c>
      <c r="N3206" s="1469">
        <v>2.1325587366493401</v>
      </c>
      <c r="O3206" s="1469"/>
    </row>
    <row r="3207" spans="11:15">
      <c r="K3207" s="1465">
        <v>45264</v>
      </c>
      <c r="L3207" s="1469" t="s">
        <v>2125</v>
      </c>
      <c r="M3207" s="850">
        <v>5.0788E-2</v>
      </c>
      <c r="N3207" s="1469">
        <v>2.1336418205805097</v>
      </c>
      <c r="O3207" s="1469"/>
    </row>
    <row r="3208" spans="11:15">
      <c r="K3208" s="1465">
        <v>45265</v>
      </c>
      <c r="L3208" s="1469" t="s">
        <v>2125</v>
      </c>
      <c r="M3208" s="850">
        <v>5.0788E-2</v>
      </c>
      <c r="N3208" s="1469">
        <v>2.1347254545883461</v>
      </c>
      <c r="O3208" s="1469"/>
    </row>
    <row r="3209" spans="11:15">
      <c r="K3209" s="1465">
        <v>45266</v>
      </c>
      <c r="L3209" s="1469" t="s">
        <v>2125</v>
      </c>
      <c r="M3209" s="850">
        <v>5.0788E-2</v>
      </c>
      <c r="N3209" s="1469">
        <v>2.1358096389522223</v>
      </c>
      <c r="O3209" s="1469"/>
    </row>
    <row r="3210" spans="11:15">
      <c r="K3210" s="1465">
        <v>45267</v>
      </c>
      <c r="L3210" s="1469" t="s">
        <v>2125</v>
      </c>
      <c r="M3210" s="850">
        <v>5.0788E-2</v>
      </c>
      <c r="N3210" s="1469">
        <v>2.1368943739516535</v>
      </c>
      <c r="O3210" s="1469"/>
    </row>
    <row r="3211" spans="11:15">
      <c r="K3211" s="1465">
        <v>45268</v>
      </c>
      <c r="L3211" s="1469" t="s">
        <v>2125</v>
      </c>
      <c r="M3211" s="850">
        <v>5.0788E-2</v>
      </c>
      <c r="N3211" s="1469">
        <v>2.1379796598662959</v>
      </c>
      <c r="O3211" s="1469"/>
    </row>
    <row r="3212" spans="11:15">
      <c r="K3212" s="1465">
        <v>45269</v>
      </c>
      <c r="L3212" s="1469"/>
      <c r="M3212" s="850">
        <v>0</v>
      </c>
      <c r="N3212" s="1469">
        <v>2.1379796598662959</v>
      </c>
      <c r="O3212" s="1469"/>
    </row>
    <row r="3213" spans="11:15">
      <c r="K3213" s="1465">
        <v>45270</v>
      </c>
      <c r="L3213" s="1469"/>
      <c r="M3213" s="850">
        <v>0</v>
      </c>
      <c r="N3213" s="1469">
        <v>2.1379796598662959</v>
      </c>
      <c r="O3213" s="1469"/>
    </row>
    <row r="3214" spans="11:15">
      <c r="K3214" s="1465">
        <v>45271</v>
      </c>
      <c r="L3214" s="1469" t="s">
        <v>2125</v>
      </c>
      <c r="M3214" s="850">
        <v>5.0788E-2</v>
      </c>
      <c r="N3214" s="1469">
        <v>2.1390654969759488</v>
      </c>
      <c r="O3214" s="1469"/>
    </row>
    <row r="3215" spans="11:15">
      <c r="K3215" s="1465">
        <v>45272</v>
      </c>
      <c r="L3215" s="1" t="s">
        <v>2125</v>
      </c>
      <c r="M3215" s="1">
        <v>5.0788E-2</v>
      </c>
      <c r="N3215" s="1">
        <v>2.1401518855605528</v>
      </c>
    </row>
    <row r="3216" spans="11:15">
      <c r="K3216" s="1465">
        <v>45273</v>
      </c>
      <c r="L3216" s="1" t="s">
        <v>2125</v>
      </c>
      <c r="M3216" s="1">
        <v>5.0788E-2</v>
      </c>
      <c r="N3216" s="1">
        <v>2.1412388259001913</v>
      </c>
    </row>
    <row r="3217" spans="11:14">
      <c r="K3217" s="1465">
        <v>45274</v>
      </c>
      <c r="L3217" s="1" t="s">
        <v>2125</v>
      </c>
      <c r="M3217" s="1">
        <v>5.0788E-2</v>
      </c>
      <c r="N3217" s="1">
        <v>2.1423263182750896</v>
      </c>
    </row>
    <row r="3218" spans="11:14">
      <c r="K3218" s="1465">
        <v>45275</v>
      </c>
      <c r="L3218" s="1" t="s">
        <v>2125</v>
      </c>
      <c r="M3218" s="1">
        <v>5.0788E-2</v>
      </c>
      <c r="N3218" s="1">
        <v>2.1434143629656153</v>
      </c>
    </row>
    <row r="3219" spans="11:14">
      <c r="K3219" s="1465">
        <v>45276</v>
      </c>
      <c r="M3219" s="1">
        <v>0</v>
      </c>
      <c r="N3219" s="1">
        <v>2.1434143629656153</v>
      </c>
    </row>
    <row r="3220" spans="11:14">
      <c r="K3220" s="1465">
        <v>45277</v>
      </c>
      <c r="M3220" s="1">
        <v>0</v>
      </c>
      <c r="N3220" s="1">
        <v>2.1434143629656153</v>
      </c>
    </row>
    <row r="3221" spans="11:14">
      <c r="K3221" s="1465">
        <v>45278</v>
      </c>
      <c r="L3221" s="1" t="s">
        <v>2125</v>
      </c>
      <c r="M3221" s="1">
        <v>5.0788E-2</v>
      </c>
      <c r="N3221" s="1">
        <v>2.1445029602522783</v>
      </c>
    </row>
    <row r="3222" spans="11:14">
      <c r="K3222" s="1465">
        <v>45279</v>
      </c>
      <c r="L3222" s="1" t="s">
        <v>2125</v>
      </c>
      <c r="M3222" s="1">
        <v>5.0788E-2</v>
      </c>
      <c r="N3222" s="1">
        <v>2.1455921104157314</v>
      </c>
    </row>
    <row r="3223" spans="11:14">
      <c r="K3223" s="1465">
        <v>45280</v>
      </c>
      <c r="L3223" s="1" t="s">
        <v>2125</v>
      </c>
      <c r="M3223" s="1">
        <v>5.0788E-2</v>
      </c>
      <c r="N3223" s="1">
        <v>2.1466818137367696</v>
      </c>
    </row>
    <row r="3224" spans="11:14">
      <c r="K3224" s="1465">
        <v>45281</v>
      </c>
      <c r="L3224" s="1" t="s">
        <v>2125</v>
      </c>
      <c r="M3224" s="1">
        <v>5.0788E-2</v>
      </c>
      <c r="N3224" s="1">
        <v>2.1477720704963303</v>
      </c>
    </row>
    <row r="3225" spans="11:14">
      <c r="K3225" s="1465">
        <v>45282</v>
      </c>
      <c r="L3225" s="1" t="s">
        <v>2125</v>
      </c>
      <c r="M3225" s="1">
        <v>5.0788E-2</v>
      </c>
      <c r="N3225" s="1">
        <v>2.1488628809754942</v>
      </c>
    </row>
    <row r="3226" spans="11:14">
      <c r="K3226" s="1465">
        <v>45283</v>
      </c>
      <c r="M3226" s="1">
        <v>0</v>
      </c>
      <c r="N3226" s="1">
        <v>2.1488628809754942</v>
      </c>
    </row>
    <row r="3227" spans="11:14">
      <c r="K3227" s="1465">
        <v>45284</v>
      </c>
      <c r="M3227" s="1">
        <v>0</v>
      </c>
      <c r="N3227" s="1">
        <v>2.1488628809754942</v>
      </c>
    </row>
    <row r="3228" spans="11:14">
      <c r="K3228" s="1465">
        <v>45285</v>
      </c>
      <c r="M3228" s="1">
        <v>0</v>
      </c>
      <c r="N3228" s="1">
        <v>2.1488628809754942</v>
      </c>
    </row>
    <row r="3229" spans="11:14">
      <c r="K3229" s="1465">
        <v>45286</v>
      </c>
      <c r="L3229" s="1" t="s">
        <v>2125</v>
      </c>
      <c r="M3229" s="1">
        <v>5.0788E-2</v>
      </c>
      <c r="N3229" s="1">
        <v>2.1499542454554841</v>
      </c>
    </row>
    <row r="3230" spans="11:14">
      <c r="K3230" s="1465">
        <v>45287</v>
      </c>
      <c r="L3230" s="1" t="s">
        <v>2125</v>
      </c>
      <c r="M3230" s="1">
        <v>5.0788E-2</v>
      </c>
      <c r="N3230" s="1">
        <v>2.1510461642176661</v>
      </c>
    </row>
    <row r="3231" spans="11:14">
      <c r="K3231" s="1465">
        <v>45288</v>
      </c>
      <c r="L3231" s="1" t="s">
        <v>2125</v>
      </c>
      <c r="M3231" s="1">
        <v>5.0788E-2</v>
      </c>
      <c r="N3231" s="1">
        <v>2.1521386375435489</v>
      </c>
    </row>
    <row r="3232" spans="11:14">
      <c r="K3232" s="1465">
        <v>45289</v>
      </c>
      <c r="L3232" s="1" t="s">
        <v>2125</v>
      </c>
      <c r="M3232" s="1">
        <v>5.0788E-2</v>
      </c>
      <c r="N3232" s="1">
        <v>2.1532316657147845</v>
      </c>
    </row>
    <row r="3233" spans="11:14">
      <c r="K3233" s="1465">
        <v>45290</v>
      </c>
      <c r="M3233" s="1">
        <v>0</v>
      </c>
      <c r="N3233" s="1">
        <v>2.1532316657147845</v>
      </c>
    </row>
    <row r="3234" spans="11:14">
      <c r="K3234" s="1465">
        <v>45291</v>
      </c>
      <c r="M3234" s="1">
        <v>0</v>
      </c>
      <c r="N3234" s="1">
        <v>2.1532316657147845</v>
      </c>
    </row>
    <row r="3235" spans="11:14">
      <c r="K3235" s="1465">
        <v>45292</v>
      </c>
      <c r="M3235" s="1">
        <v>0</v>
      </c>
      <c r="N3235" s="1">
        <v>2.1532316657147845</v>
      </c>
    </row>
    <row r="3236" spans="11:14">
      <c r="K3236" s="1465">
        <v>45293</v>
      </c>
      <c r="L3236" s="1" t="s">
        <v>2125</v>
      </c>
      <c r="M3236" s="1">
        <v>5.0788E-2</v>
      </c>
      <c r="N3236" s="1">
        <v>2.1543252490131679</v>
      </c>
    </row>
    <row r="3237" spans="11:14">
      <c r="K3237" s="1465">
        <v>45294</v>
      </c>
      <c r="L3237" s="1" t="s">
        <v>2125</v>
      </c>
      <c r="M3237" s="1">
        <v>5.0788E-2</v>
      </c>
      <c r="N3237" s="1">
        <v>2.1554193877206367</v>
      </c>
    </row>
    <row r="3238" spans="11:14">
      <c r="K3238" s="1465">
        <v>45295</v>
      </c>
      <c r="L3238" s="1" t="s">
        <v>2125</v>
      </c>
      <c r="M3238" s="1">
        <v>5.0788E-2</v>
      </c>
      <c r="N3238" s="1">
        <v>2.1565140821192723</v>
      </c>
    </row>
    <row r="3239" spans="11:14">
      <c r="K3239" s="1465">
        <v>45296</v>
      </c>
      <c r="L3239" s="1" t="s">
        <v>2125</v>
      </c>
      <c r="M3239" s="1">
        <v>5.0788E-2</v>
      </c>
      <c r="N3239" s="1">
        <v>2.1576093324912993</v>
      </c>
    </row>
    <row r="3240" spans="11:14">
      <c r="K3240" s="1465">
        <v>45297</v>
      </c>
      <c r="M3240" s="1">
        <v>0</v>
      </c>
      <c r="N3240" s="1">
        <v>2.1576093324912993</v>
      </c>
    </row>
    <row r="3241" spans="11:14">
      <c r="K3241" s="1465">
        <v>45298</v>
      </c>
      <c r="M3241" s="1">
        <v>0</v>
      </c>
      <c r="N3241" s="1">
        <v>2.1576093324912993</v>
      </c>
    </row>
    <row r="3242" spans="11:14">
      <c r="K3242" s="1465">
        <v>45299</v>
      </c>
      <c r="L3242" s="1" t="s">
        <v>2125</v>
      </c>
      <c r="M3242" s="1">
        <v>5.0788E-2</v>
      </c>
      <c r="N3242" s="1">
        <v>2.158705139119085</v>
      </c>
    </row>
    <row r="3243" spans="11:14">
      <c r="K3243" s="1465">
        <v>45300</v>
      </c>
      <c r="L3243" s="1" t="s">
        <v>2125</v>
      </c>
      <c r="M3243" s="1">
        <v>5.0788E-2</v>
      </c>
      <c r="N3243" s="1">
        <v>2.1598015022851409</v>
      </c>
    </row>
    <row r="3244" spans="11:14">
      <c r="K3244" s="1465">
        <v>45301</v>
      </c>
      <c r="L3244" s="1" t="s">
        <v>2125</v>
      </c>
      <c r="M3244" s="1">
        <v>5.0788E-2</v>
      </c>
      <c r="N3244" s="1">
        <v>2.1608984222721217</v>
      </c>
    </row>
    <row r="3245" spans="11:14">
      <c r="K3245" s="1465">
        <v>45302</v>
      </c>
      <c r="L3245" s="1" t="s">
        <v>2125</v>
      </c>
      <c r="M3245" s="1">
        <v>5.0788E-2</v>
      </c>
      <c r="N3245" s="1">
        <v>2.1619958993628252</v>
      </c>
    </row>
    <row r="3246" spans="11:14">
      <c r="K3246" s="1465">
        <v>45303</v>
      </c>
      <c r="L3246" s="1" t="s">
        <v>2125</v>
      </c>
      <c r="M3246" s="1">
        <v>5.0788E-2</v>
      </c>
      <c r="N3246" s="1">
        <v>2.1630939338401936</v>
      </c>
    </row>
    <row r="3247" spans="11:14">
      <c r="K3247" s="1465">
        <v>45304</v>
      </c>
      <c r="M3247" s="1">
        <v>0</v>
      </c>
      <c r="N3247" s="1">
        <v>2.1630939338401936</v>
      </c>
    </row>
    <row r="3248" spans="11:14">
      <c r="K3248" s="1465">
        <v>45305</v>
      </c>
      <c r="M3248" s="1">
        <v>0</v>
      </c>
      <c r="N3248" s="1">
        <v>2.1630939338401936</v>
      </c>
    </row>
    <row r="3249" spans="11:14">
      <c r="K3249" s="1465">
        <v>45306</v>
      </c>
      <c r="L3249" s="1" t="s">
        <v>2125</v>
      </c>
      <c r="M3249" s="1">
        <v>5.0788E-2</v>
      </c>
      <c r="N3249" s="1">
        <v>2.1641925259873123</v>
      </c>
    </row>
    <row r="3250" spans="11:14">
      <c r="K3250" s="1465">
        <v>45307</v>
      </c>
      <c r="L3250" s="1" t="s">
        <v>2125</v>
      </c>
      <c r="M3250" s="1">
        <v>5.0788E-2</v>
      </c>
      <c r="N3250" s="1">
        <v>2.1652916760874108</v>
      </c>
    </row>
    <row r="3251" spans="11:14">
      <c r="K3251" s="1465">
        <v>45308</v>
      </c>
      <c r="L3251" s="1" t="s">
        <v>2125</v>
      </c>
      <c r="M3251" s="1">
        <v>5.0788E-2</v>
      </c>
      <c r="N3251" s="1">
        <v>2.166391384423862</v>
      </c>
    </row>
    <row r="3252" spans="11:14">
      <c r="K3252" s="1465">
        <v>45309</v>
      </c>
      <c r="L3252" s="1" t="s">
        <v>2125</v>
      </c>
      <c r="M3252" s="1">
        <v>5.0788E-2</v>
      </c>
      <c r="N3252" s="1">
        <v>2.1674916512801832</v>
      </c>
    </row>
    <row r="3253" spans="11:14">
      <c r="K3253" s="1465">
        <v>45310</v>
      </c>
      <c r="L3253" s="1" t="s">
        <v>2125</v>
      </c>
      <c r="M3253" s="1">
        <v>5.0788E-2</v>
      </c>
      <c r="N3253" s="1">
        <v>2.1685924769400353</v>
      </c>
    </row>
    <row r="3254" spans="11:14">
      <c r="K3254" s="1465">
        <v>45311</v>
      </c>
      <c r="M3254" s="1">
        <v>0</v>
      </c>
      <c r="N3254" s="1">
        <v>2.1685924769400353</v>
      </c>
    </row>
    <row r="3255" spans="11:14">
      <c r="K3255" s="1465">
        <v>45312</v>
      </c>
      <c r="M3255" s="1">
        <v>0</v>
      </c>
      <c r="N3255" s="1">
        <v>2.1685924769400353</v>
      </c>
    </row>
    <row r="3256" spans="11:14">
      <c r="K3256" s="1465">
        <v>45313</v>
      </c>
      <c r="L3256" s="1" t="s">
        <v>2125</v>
      </c>
      <c r="M3256" s="1">
        <v>5.0788E-2</v>
      </c>
      <c r="N3256" s="1">
        <v>2.1696938616872234</v>
      </c>
    </row>
    <row r="3257" spans="11:14">
      <c r="K3257" s="1465">
        <v>45314</v>
      </c>
      <c r="L3257" s="1" t="s">
        <v>2125</v>
      </c>
      <c r="M3257" s="1">
        <v>5.0788E-2</v>
      </c>
      <c r="N3257" s="1">
        <v>2.1707958058056973</v>
      </c>
    </row>
    <row r="3258" spans="11:14">
      <c r="K3258" s="1465">
        <v>45315</v>
      </c>
      <c r="L3258" s="1" t="s">
        <v>2125</v>
      </c>
      <c r="M3258" s="1">
        <v>5.0788E-2</v>
      </c>
      <c r="N3258" s="1">
        <v>2.1718983095795501</v>
      </c>
    </row>
    <row r="3259" spans="11:14">
      <c r="K3259" s="1465">
        <v>45316</v>
      </c>
      <c r="L3259" s="1" t="s">
        <v>2125</v>
      </c>
      <c r="M3259" s="1">
        <v>5.0788E-2</v>
      </c>
      <c r="N3259" s="1">
        <v>2.1730013732930193</v>
      </c>
    </row>
    <row r="3260" spans="11:14">
      <c r="K3260" s="1465">
        <v>45317</v>
      </c>
      <c r="L3260" s="1" t="s">
        <v>2125</v>
      </c>
      <c r="M3260" s="1">
        <v>5.0788E-2</v>
      </c>
      <c r="N3260" s="1">
        <v>2.1741049972304873</v>
      </c>
    </row>
    <row r="3261" spans="11:14">
      <c r="K3261" s="1465">
        <v>45318</v>
      </c>
      <c r="M3261" s="1">
        <v>0</v>
      </c>
      <c r="N3261" s="1">
        <v>2.1741049972304873</v>
      </c>
    </row>
    <row r="3262" spans="11:14">
      <c r="K3262" s="1465">
        <v>45319</v>
      </c>
      <c r="M3262" s="1">
        <v>0</v>
      </c>
      <c r="N3262" s="1">
        <v>2.1741049972304873</v>
      </c>
    </row>
    <row r="3263" spans="11:14">
      <c r="K3263" s="1465">
        <v>45320</v>
      </c>
      <c r="L3263" s="1" t="s">
        <v>2125</v>
      </c>
      <c r="M3263" s="1">
        <v>5.0788E-2</v>
      </c>
      <c r="N3263" s="1">
        <v>2.1752091816764807</v>
      </c>
    </row>
    <row r="3264" spans="11:14">
      <c r="K3264" s="1465">
        <v>45321</v>
      </c>
      <c r="L3264" s="1" t="s">
        <v>2125</v>
      </c>
      <c r="M3264" s="1">
        <v>5.0788E-2</v>
      </c>
      <c r="N3264" s="1">
        <v>2.1763139269156704</v>
      </c>
    </row>
    <row r="3265" spans="11:14">
      <c r="K3265" s="1465">
        <v>45322</v>
      </c>
      <c r="L3265" s="1" t="s">
        <v>2125</v>
      </c>
      <c r="M3265" s="1">
        <v>5.0788E-2</v>
      </c>
      <c r="N3265" s="1">
        <v>2.1774192332328726</v>
      </c>
    </row>
    <row r="3266" spans="11:14">
      <c r="K3266" s="1465">
        <v>45323</v>
      </c>
      <c r="L3266" s="1" t="s">
        <v>2125</v>
      </c>
      <c r="M3266" s="1">
        <v>5.0788E-2</v>
      </c>
      <c r="N3266" s="1">
        <v>2.1785251009130469</v>
      </c>
    </row>
    <row r="3267" spans="11:14">
      <c r="K3267" s="1465">
        <v>45324</v>
      </c>
      <c r="L3267" s="1" t="s">
        <v>2125</v>
      </c>
      <c r="M3267" s="1">
        <v>5.0788E-2</v>
      </c>
      <c r="N3267" s="1">
        <v>2.1796315302412985</v>
      </c>
    </row>
    <row r="3268" spans="11:14">
      <c r="K3268" s="1465">
        <v>45325</v>
      </c>
      <c r="M3268" s="1">
        <v>0</v>
      </c>
      <c r="N3268" s="1">
        <v>2.1796315302412985</v>
      </c>
    </row>
    <row r="3269" spans="11:14">
      <c r="K3269" s="1465">
        <v>45326</v>
      </c>
      <c r="M3269" s="1">
        <v>0</v>
      </c>
      <c r="N3269" s="1">
        <v>2.1796315302412985</v>
      </c>
    </row>
    <row r="3270" spans="11:14">
      <c r="K3270" s="1465">
        <v>45327</v>
      </c>
      <c r="L3270" s="1" t="s">
        <v>2125</v>
      </c>
      <c r="M3270" s="1">
        <v>5.0788E-2</v>
      </c>
      <c r="N3270" s="1">
        <v>2.1807385215028776</v>
      </c>
    </row>
    <row r="3271" spans="11:14">
      <c r="K3271" s="1465">
        <v>45328</v>
      </c>
      <c r="L3271" s="1" t="s">
        <v>2125</v>
      </c>
      <c r="M3271" s="1">
        <v>5.0788E-2</v>
      </c>
      <c r="N3271" s="1">
        <v>2.1818460749831785</v>
      </c>
    </row>
    <row r="3272" spans="11:14">
      <c r="K3272" s="1465">
        <v>45329</v>
      </c>
      <c r="L3272" s="1" t="s">
        <v>2125</v>
      </c>
      <c r="M3272" s="1">
        <v>5.0788E-2</v>
      </c>
      <c r="N3272" s="1">
        <v>2.1829541909677408</v>
      </c>
    </row>
    <row r="3273" spans="11:14">
      <c r="K3273" s="1465">
        <v>45330</v>
      </c>
      <c r="L3273" s="1" t="s">
        <v>2125</v>
      </c>
      <c r="M3273" s="1">
        <v>5.0788E-2</v>
      </c>
      <c r="N3273" s="1">
        <v>2.1840628697422497</v>
      </c>
    </row>
    <row r="3274" spans="11:14">
      <c r="K3274" s="1465">
        <v>45331</v>
      </c>
      <c r="L3274" s="1" t="s">
        <v>2125</v>
      </c>
      <c r="M3274" s="1">
        <v>5.0788E-2</v>
      </c>
      <c r="N3274" s="1">
        <v>2.1851721115925344</v>
      </c>
    </row>
    <row r="3275" spans="11:14">
      <c r="K3275" s="1465">
        <v>45332</v>
      </c>
      <c r="M3275" s="1">
        <v>0</v>
      </c>
      <c r="N3275" s="1">
        <v>2.1851721115925344</v>
      </c>
    </row>
    <row r="3276" spans="11:14">
      <c r="K3276" s="1465">
        <v>45333</v>
      </c>
      <c r="M3276" s="1">
        <v>0</v>
      </c>
      <c r="N3276" s="1">
        <v>2.1851721115925344</v>
      </c>
    </row>
    <row r="3277" spans="11:14">
      <c r="K3277" s="1465">
        <v>45334</v>
      </c>
      <c r="M3277" s="1">
        <v>0</v>
      </c>
      <c r="N3277" s="1">
        <v>2.1851721115925344</v>
      </c>
    </row>
    <row r="3278" spans="11:14">
      <c r="K3278" s="1465">
        <v>45335</v>
      </c>
      <c r="M3278" s="1">
        <v>0</v>
      </c>
      <c r="N3278" s="1">
        <v>2.1851721115925344</v>
      </c>
    </row>
    <row r="3279" spans="11:14">
      <c r="K3279" s="1465">
        <v>45336</v>
      </c>
      <c r="L3279" s="1" t="s">
        <v>2125</v>
      </c>
      <c r="M3279" s="1">
        <v>5.0788E-2</v>
      </c>
      <c r="N3279" s="1">
        <v>2.1862819168045702</v>
      </c>
    </row>
    <row r="3280" spans="11:14">
      <c r="K3280" s="1465">
        <v>45337</v>
      </c>
      <c r="L3280" s="1" t="s">
        <v>2125</v>
      </c>
      <c r="M3280" s="1">
        <v>5.0788E-2</v>
      </c>
      <c r="N3280" s="1">
        <v>2.187392285664477</v>
      </c>
    </row>
    <row r="3281" spans="11:14">
      <c r="K3281" s="1465">
        <v>45338</v>
      </c>
      <c r="L3281" s="1" t="s">
        <v>2125</v>
      </c>
      <c r="M3281" s="1">
        <v>5.0788E-2</v>
      </c>
      <c r="N3281" s="1">
        <v>2.1885032184585205</v>
      </c>
    </row>
    <row r="3282" spans="11:14">
      <c r="K3282" s="1465">
        <v>45339</v>
      </c>
      <c r="M3282" s="1">
        <v>0</v>
      </c>
      <c r="N3282" s="1">
        <v>2.1885032184585205</v>
      </c>
    </row>
    <row r="3283" spans="11:14">
      <c r="K3283" s="1465">
        <v>45340</v>
      </c>
      <c r="M3283" s="1">
        <v>0</v>
      </c>
      <c r="N3283" s="1">
        <v>2.1885032184585205</v>
      </c>
    </row>
    <row r="3284" spans="11:14">
      <c r="K3284" s="1465">
        <v>45341</v>
      </c>
      <c r="L3284" s="1" t="s">
        <v>2125</v>
      </c>
      <c r="M3284" s="1">
        <v>5.0788E-2</v>
      </c>
      <c r="N3284" s="1">
        <v>2.1896147154731112</v>
      </c>
    </row>
    <row r="3285" spans="11:14">
      <c r="K3285" s="1465">
        <v>45342</v>
      </c>
      <c r="L3285" s="1" t="s">
        <v>2125</v>
      </c>
      <c r="M3285" s="1">
        <v>5.0788E-2</v>
      </c>
      <c r="N3285" s="1">
        <v>2.1907267769948056</v>
      </c>
    </row>
    <row r="3286" spans="11:14">
      <c r="K3286" s="1465">
        <v>45343</v>
      </c>
      <c r="L3286" s="1" t="s">
        <v>2125</v>
      </c>
      <c r="M3286" s="1">
        <v>5.0788E-2</v>
      </c>
      <c r="N3286" s="1">
        <v>2.1918394033103059</v>
      </c>
    </row>
    <row r="3287" spans="11:14">
      <c r="K3287" s="1465">
        <v>45344</v>
      </c>
      <c r="L3287" s="1" t="s">
        <v>2125</v>
      </c>
      <c r="M3287" s="1">
        <v>5.0788E-2</v>
      </c>
      <c r="N3287" s="1">
        <v>2.1929525947064592</v>
      </c>
    </row>
    <row r="3288" spans="11:14">
      <c r="K3288" s="1465">
        <v>45345</v>
      </c>
      <c r="L3288" s="1" t="s">
        <v>2125</v>
      </c>
      <c r="M3288" s="1">
        <v>5.0788E-2</v>
      </c>
      <c r="N3288" s="1">
        <v>2.194066351470259</v>
      </c>
    </row>
    <row r="3289" spans="11:14">
      <c r="K3289" s="1465">
        <v>45346</v>
      </c>
      <c r="M3289" s="1">
        <v>0</v>
      </c>
      <c r="N3289" s="1">
        <v>2.194066351470259</v>
      </c>
    </row>
    <row r="3290" spans="11:14">
      <c r="K3290" s="1465">
        <v>45347</v>
      </c>
      <c r="M3290" s="1">
        <v>0</v>
      </c>
      <c r="N3290" s="1">
        <v>2.194066351470259</v>
      </c>
    </row>
    <row r="3291" spans="11:14">
      <c r="K3291" s="1465">
        <v>45348</v>
      </c>
      <c r="L3291" s="1" t="s">
        <v>2125</v>
      </c>
      <c r="M3291" s="1">
        <v>5.0788E-2</v>
      </c>
      <c r="N3291" s="1">
        <v>2.1951806738888435</v>
      </c>
    </row>
    <row r="3292" spans="11:14">
      <c r="K3292" s="1465">
        <v>45349</v>
      </c>
      <c r="L3292" s="1" t="s">
        <v>2125</v>
      </c>
      <c r="M3292" s="1">
        <v>5.0788E-2</v>
      </c>
      <c r="N3292" s="1">
        <v>2.1962955622494982</v>
      </c>
    </row>
    <row r="3293" spans="11:14">
      <c r="K3293" s="1465">
        <v>45350</v>
      </c>
      <c r="L3293" s="1" t="s">
        <v>2125</v>
      </c>
      <c r="M3293" s="1">
        <v>5.0788E-2</v>
      </c>
      <c r="N3293" s="1">
        <v>2.1974110168396535</v>
      </c>
    </row>
    <row r="3294" spans="11:14">
      <c r="K3294" s="1465">
        <v>45351</v>
      </c>
      <c r="L3294" s="1" t="s">
        <v>2125</v>
      </c>
      <c r="M3294" s="1">
        <v>5.0788E-2</v>
      </c>
      <c r="N3294" s="1">
        <v>2.198527037946886</v>
      </c>
    </row>
    <row r="3295" spans="11:14">
      <c r="K3295" s="1465">
        <v>45352</v>
      </c>
      <c r="L3295" s="1" t="s">
        <v>2125</v>
      </c>
      <c r="M3295" s="1">
        <v>5.0788E-2</v>
      </c>
      <c r="N3295" s="1">
        <v>2.1996436258589185</v>
      </c>
    </row>
    <row r="3296" spans="11:14">
      <c r="K3296" s="1465">
        <v>45353</v>
      </c>
      <c r="M3296" s="1">
        <v>0</v>
      </c>
      <c r="N3296" s="1">
        <v>2.1996436258589185</v>
      </c>
    </row>
    <row r="3297" spans="11:14">
      <c r="K3297" s="1465">
        <v>45354</v>
      </c>
      <c r="M3297" s="1">
        <v>0</v>
      </c>
      <c r="N3297" s="1">
        <v>2.1996436258589185</v>
      </c>
    </row>
    <row r="3298" spans="11:14">
      <c r="K3298" s="1465">
        <v>45355</v>
      </c>
      <c r="L3298" s="1" t="s">
        <v>2125</v>
      </c>
      <c r="M3298" s="1">
        <v>5.0788E-2</v>
      </c>
      <c r="N3298" s="1">
        <v>2.2007607808636198</v>
      </c>
    </row>
    <row r="3299" spans="11:14">
      <c r="K3299" s="1465">
        <v>45356</v>
      </c>
      <c r="L3299" s="1" t="s">
        <v>2125</v>
      </c>
      <c r="M3299" s="1">
        <v>5.0788E-2</v>
      </c>
      <c r="N3299" s="1">
        <v>2.2018785032490049</v>
      </c>
    </row>
    <row r="3300" spans="11:14">
      <c r="K3300" s="1465">
        <v>45357</v>
      </c>
      <c r="L3300" s="1" t="s">
        <v>2125</v>
      </c>
      <c r="M3300" s="1">
        <v>5.0788E-2</v>
      </c>
      <c r="N3300" s="1">
        <v>2.2029967933032348</v>
      </c>
    </row>
    <row r="3301" spans="11:14">
      <c r="K3301" s="1465">
        <v>45358</v>
      </c>
      <c r="L3301" s="1" t="s">
        <v>2125</v>
      </c>
      <c r="M3301" s="1">
        <v>5.0788E-2</v>
      </c>
      <c r="N3301" s="1">
        <v>2.2041156513146176</v>
      </c>
    </row>
    <row r="3302" spans="11:14">
      <c r="K3302" s="1465">
        <v>45359</v>
      </c>
      <c r="L3302" s="1" t="s">
        <v>2125</v>
      </c>
      <c r="M3302" s="1">
        <v>5.0788E-2</v>
      </c>
      <c r="N3302" s="1">
        <v>2.2052350775716074</v>
      </c>
    </row>
    <row r="3303" spans="11:14">
      <c r="K3303" s="1465">
        <v>45360</v>
      </c>
      <c r="M3303" s="1">
        <v>0</v>
      </c>
      <c r="N3303" s="1">
        <v>2.2052350775716074</v>
      </c>
    </row>
    <row r="3304" spans="11:14">
      <c r="K3304" s="1465">
        <v>45361</v>
      </c>
      <c r="M3304" s="1">
        <v>0</v>
      </c>
      <c r="N3304" s="1">
        <v>2.2052350775716074</v>
      </c>
    </row>
    <row r="3305" spans="11:14">
      <c r="K3305" s="1465">
        <v>45362</v>
      </c>
      <c r="L3305" s="1" t="s">
        <v>2125</v>
      </c>
      <c r="M3305" s="1">
        <v>5.0788E-2</v>
      </c>
      <c r="N3305" s="1">
        <v>2.2063550723628045</v>
      </c>
    </row>
    <row r="3306" spans="11:14">
      <c r="K3306" s="1465">
        <v>45363</v>
      </c>
      <c r="L3306" s="1" t="s">
        <v>2125</v>
      </c>
      <c r="M3306" s="1">
        <v>5.0788E-2</v>
      </c>
      <c r="N3306" s="1">
        <v>2.2074756359769561</v>
      </c>
    </row>
    <row r="3307" spans="11:14">
      <c r="K3307" s="1465">
        <v>45364</v>
      </c>
      <c r="L3307" s="1" t="s">
        <v>2125</v>
      </c>
      <c r="M3307" s="1">
        <v>5.0788E-2</v>
      </c>
      <c r="N3307" s="1">
        <v>2.208596768702956</v>
      </c>
    </row>
    <row r="3308" spans="11:14">
      <c r="K3308" s="1465">
        <v>45365</v>
      </c>
      <c r="L3308" s="1" t="s">
        <v>2125</v>
      </c>
      <c r="M3308" s="1">
        <v>5.0788E-2</v>
      </c>
      <c r="N3308" s="1">
        <v>2.209718470829845</v>
      </c>
    </row>
    <row r="3309" spans="11:14">
      <c r="K3309" s="1465">
        <v>45366</v>
      </c>
      <c r="L3309" s="1" t="s">
        <v>2125</v>
      </c>
      <c r="M3309" s="1">
        <v>5.0788E-2</v>
      </c>
      <c r="N3309" s="1">
        <v>2.21084074264681</v>
      </c>
    </row>
    <row r="3310" spans="11:14">
      <c r="K3310" s="1465">
        <v>45367</v>
      </c>
      <c r="M3310" s="1">
        <v>0</v>
      </c>
      <c r="N3310" s="1">
        <v>2.21084074264681</v>
      </c>
    </row>
    <row r="3311" spans="11:14">
      <c r="K3311" s="1465">
        <v>45368</v>
      </c>
      <c r="M3311" s="1">
        <v>0</v>
      </c>
      <c r="N3311" s="1">
        <v>2.21084074264681</v>
      </c>
    </row>
    <row r="3312" spans="11:14">
      <c r="K3312" s="1465">
        <v>45369</v>
      </c>
      <c r="L3312" s="1" t="s">
        <v>2125</v>
      </c>
      <c r="M3312" s="1">
        <v>5.0788E-2</v>
      </c>
      <c r="N3312" s="1">
        <v>2.2119635844431853</v>
      </c>
    </row>
    <row r="3313" spans="11:14">
      <c r="K3313" s="1465">
        <v>45370</v>
      </c>
      <c r="L3313" s="1" t="s">
        <v>2125</v>
      </c>
      <c r="M3313" s="1">
        <v>5.0788E-2</v>
      </c>
      <c r="N3313" s="1">
        <v>2.2130869965084523</v>
      </c>
    </row>
    <row r="3314" spans="11:14">
      <c r="K3314" s="1465">
        <v>45371</v>
      </c>
      <c r="L3314" s="1" t="s">
        <v>2125</v>
      </c>
      <c r="M3314" s="1">
        <v>5.0788E-2</v>
      </c>
      <c r="N3314" s="1">
        <v>2.2142109791322389</v>
      </c>
    </row>
    <row r="3315" spans="11:14">
      <c r="K3315" s="1465">
        <v>45372</v>
      </c>
      <c r="L3315" s="1" t="s">
        <v>2125</v>
      </c>
      <c r="M3315" s="1">
        <v>5.0788E-2</v>
      </c>
      <c r="N3315" s="1">
        <v>2.2153355326043207</v>
      </c>
    </row>
    <row r="3316" spans="11:14">
      <c r="K3316" s="1465">
        <v>45373</v>
      </c>
      <c r="L3316" s="1" t="s">
        <v>2125</v>
      </c>
      <c r="M3316" s="1">
        <v>5.0788E-2</v>
      </c>
      <c r="N3316" s="1">
        <v>2.2164606572146197</v>
      </c>
    </row>
    <row r="3317" spans="11:14">
      <c r="K3317" s="1465">
        <v>45374</v>
      </c>
      <c r="M3317" s="1">
        <v>0</v>
      </c>
      <c r="N3317" s="1">
        <v>2.2164606572146197</v>
      </c>
    </row>
    <row r="3318" spans="11:14">
      <c r="K3318" s="1465">
        <v>45375</v>
      </c>
      <c r="M3318" s="1">
        <v>0</v>
      </c>
      <c r="N3318" s="1">
        <v>2.2164606572146197</v>
      </c>
    </row>
    <row r="3319" spans="11:14">
      <c r="K3319" s="1465">
        <v>45376</v>
      </c>
      <c r="L3319" s="1" t="s">
        <v>2125</v>
      </c>
      <c r="M3319" s="1">
        <v>5.0788E-2</v>
      </c>
      <c r="N3319" s="1">
        <v>2.2175863532532061</v>
      </c>
    </row>
    <row r="3320" spans="11:14">
      <c r="K3320" s="1465"/>
    </row>
    <row r="3321" spans="11:14">
      <c r="K3321" s="1465"/>
    </row>
    <row r="3322" spans="11:14">
      <c r="K3322" s="1465"/>
    </row>
    <row r="3323" spans="11:14">
      <c r="K3323" s="1465"/>
    </row>
    <row r="3324" spans="11:14">
      <c r="K3324" s="1465"/>
    </row>
    <row r="3325" spans="11:14">
      <c r="K3325" s="1465"/>
    </row>
    <row r="3326" spans="11:14">
      <c r="K3326" s="1465"/>
    </row>
    <row r="3327" spans="11:14">
      <c r="K3327" s="1465"/>
    </row>
    <row r="3328" spans="11:14">
      <c r="K3328" s="1465"/>
    </row>
    <row r="3329" spans="11:11">
      <c r="K3329" s="1465"/>
    </row>
    <row r="3330" spans="11:11">
      <c r="K3330" s="1465"/>
    </row>
    <row r="3331" spans="11:11">
      <c r="K3331" s="1465"/>
    </row>
    <row r="3332" spans="11:11">
      <c r="K3332" s="1465"/>
    </row>
    <row r="3333" spans="11:11">
      <c r="K3333" s="1465"/>
    </row>
    <row r="3334" spans="11:11">
      <c r="K3334" s="1465"/>
    </row>
    <row r="3335" spans="11:11">
      <c r="K3335" s="1465"/>
    </row>
    <row r="3336" spans="11:11">
      <c r="K3336" s="1465"/>
    </row>
    <row r="3337" spans="11:11">
      <c r="K3337" s="1465"/>
    </row>
    <row r="3338" spans="11:11">
      <c r="K3338" s="1465"/>
    </row>
    <row r="3339" spans="11:11">
      <c r="K3339" s="1465"/>
    </row>
    <row r="3340" spans="11:11">
      <c r="K3340" s="1465"/>
    </row>
    <row r="3341" spans="11:11">
      <c r="K3341" s="1465"/>
    </row>
    <row r="3342" spans="11:11">
      <c r="K3342" s="1465"/>
    </row>
    <row r="3343" spans="11:11">
      <c r="K3343" s="1465"/>
    </row>
    <row r="3344" spans="11:11">
      <c r="K3344" s="1465"/>
    </row>
    <row r="3345" spans="11:11">
      <c r="K3345" s="1465"/>
    </row>
    <row r="3346" spans="11:11">
      <c r="K3346" s="1465"/>
    </row>
    <row r="3347" spans="11:11">
      <c r="K3347" s="1465"/>
    </row>
    <row r="3348" spans="11:11">
      <c r="K3348" s="1465"/>
    </row>
    <row r="3349" spans="11:11">
      <c r="K3349" s="1465"/>
    </row>
    <row r="3350" spans="11:11">
      <c r="K3350" s="1465"/>
    </row>
    <row r="3351" spans="11:11">
      <c r="K3351" s="1465"/>
    </row>
    <row r="3352" spans="11:11">
      <c r="K3352" s="1465"/>
    </row>
    <row r="3353" spans="11:11">
      <c r="K3353" s="1465"/>
    </row>
    <row r="3354" spans="11:11">
      <c r="K3354" s="1465"/>
    </row>
    <row r="3355" spans="11:11">
      <c r="K3355" s="1465"/>
    </row>
    <row r="3356" spans="11:11">
      <c r="K3356" s="1465"/>
    </row>
    <row r="3357" spans="11:11">
      <c r="K3357" s="1465"/>
    </row>
    <row r="3358" spans="11:11">
      <c r="K3358" s="1465"/>
    </row>
    <row r="3359" spans="11:11">
      <c r="K3359" s="1465"/>
    </row>
    <row r="3360" spans="11:11">
      <c r="K3360" s="1465"/>
    </row>
    <row r="3361" spans="11:11">
      <c r="K3361" s="1465"/>
    </row>
    <row r="3362" spans="11:11">
      <c r="K3362" s="1465"/>
    </row>
    <row r="3363" spans="11:11">
      <c r="K3363" s="1465"/>
    </row>
    <row r="3364" spans="11:11">
      <c r="K3364" s="1465"/>
    </row>
    <row r="3365" spans="11:11">
      <c r="K3365" s="1465"/>
    </row>
    <row r="3366" spans="11:11">
      <c r="K3366" s="1465"/>
    </row>
    <row r="3367" spans="11:11">
      <c r="K3367" s="1465"/>
    </row>
    <row r="3368" spans="11:11">
      <c r="K3368" s="1465"/>
    </row>
    <row r="3369" spans="11:11">
      <c r="K3369" s="1465"/>
    </row>
    <row r="3370" spans="11:11">
      <c r="K3370" s="1465"/>
    </row>
    <row r="3371" spans="11:11">
      <c r="K3371" s="1465"/>
    </row>
    <row r="3372" spans="11:11">
      <c r="K3372" s="1465"/>
    </row>
    <row r="3373" spans="11:11">
      <c r="K3373" s="1465"/>
    </row>
    <row r="3374" spans="11:11">
      <c r="K3374" s="1465"/>
    </row>
    <row r="3375" spans="11:11">
      <c r="K3375" s="1465"/>
    </row>
    <row r="3376" spans="11:11">
      <c r="K3376" s="1465"/>
    </row>
    <row r="3377" spans="11:11">
      <c r="K3377" s="1465"/>
    </row>
    <row r="3378" spans="11:11">
      <c r="K3378" s="1465"/>
    </row>
    <row r="3379" spans="11:11">
      <c r="K3379" s="1465"/>
    </row>
    <row r="3380" spans="11:11">
      <c r="K3380" s="1465"/>
    </row>
    <row r="3381" spans="11:11">
      <c r="K3381" s="1465"/>
    </row>
    <row r="3382" spans="11:11">
      <c r="K3382" s="1465"/>
    </row>
    <row r="3383" spans="11:11">
      <c r="K3383" s="1465"/>
    </row>
    <row r="3384" spans="11:11">
      <c r="K3384" s="1465"/>
    </row>
    <row r="3385" spans="11:11">
      <c r="K3385" s="1465"/>
    </row>
    <row r="3386" spans="11:11">
      <c r="K3386" s="1465"/>
    </row>
    <row r="3387" spans="11:11">
      <c r="K3387" s="1465"/>
    </row>
    <row r="3388" spans="11:11">
      <c r="K3388" s="1465"/>
    </row>
    <row r="3389" spans="11:11">
      <c r="K3389" s="1465"/>
    </row>
    <row r="3390" spans="11:11">
      <c r="K3390" s="1465"/>
    </row>
    <row r="3391" spans="11:11">
      <c r="K3391" s="1465"/>
    </row>
    <row r="3392" spans="11:11">
      <c r="K3392" s="1465"/>
    </row>
    <row r="3393" spans="11:11">
      <c r="K3393" s="1465"/>
    </row>
    <row r="3394" spans="11:11">
      <c r="K3394" s="1465"/>
    </row>
    <row r="3395" spans="11:11">
      <c r="K3395" s="1465"/>
    </row>
    <row r="3396" spans="11:11">
      <c r="K3396" s="1465"/>
    </row>
    <row r="3397" spans="11:11">
      <c r="K3397" s="1465"/>
    </row>
    <row r="3398" spans="11:11">
      <c r="K3398" s="1465"/>
    </row>
    <row r="3399" spans="11:11">
      <c r="K3399" s="1465"/>
    </row>
    <row r="3400" spans="11:11">
      <c r="K3400" s="1465"/>
    </row>
    <row r="3401" spans="11:11">
      <c r="K3401" s="1465"/>
    </row>
    <row r="3402" spans="11:11">
      <c r="K3402" s="1465"/>
    </row>
    <row r="3403" spans="11:11">
      <c r="K3403" s="1465"/>
    </row>
    <row r="3404" spans="11:11">
      <c r="K3404" s="1465"/>
    </row>
    <row r="3405" spans="11:11">
      <c r="K3405" s="1465"/>
    </row>
    <row r="3406" spans="11:11">
      <c r="K3406" s="1465"/>
    </row>
    <row r="3407" spans="11:11">
      <c r="K3407" s="1465"/>
    </row>
    <row r="3408" spans="11:11">
      <c r="K3408" s="1465"/>
    </row>
    <row r="3409" spans="11:11">
      <c r="K3409" s="1465"/>
    </row>
    <row r="3410" spans="11:11">
      <c r="K3410" s="1465"/>
    </row>
    <row r="3411" spans="11:11">
      <c r="K3411" s="1465"/>
    </row>
    <row r="3412" spans="11:11">
      <c r="K3412" s="1465"/>
    </row>
    <row r="3413" spans="11:11">
      <c r="K3413" s="1465"/>
    </row>
    <row r="3414" spans="11:11">
      <c r="K3414" s="1465"/>
    </row>
    <row r="3415" spans="11:11">
      <c r="K3415" s="1465"/>
    </row>
    <row r="3416" spans="11:11">
      <c r="K3416" s="1465"/>
    </row>
    <row r="3417" spans="11:11">
      <c r="K3417" s="1465"/>
    </row>
    <row r="3418" spans="11:11">
      <c r="K3418" s="1465"/>
    </row>
    <row r="3419" spans="11:11">
      <c r="K3419" s="1465"/>
    </row>
    <row r="3420" spans="11:11">
      <c r="K3420" s="1465"/>
    </row>
    <row r="3421" spans="11:11">
      <c r="K3421" s="1465"/>
    </row>
    <row r="3422" spans="11:11">
      <c r="K3422" s="1465"/>
    </row>
    <row r="3423" spans="11:11">
      <c r="K3423" s="1465"/>
    </row>
    <row r="3424" spans="11:11">
      <c r="K3424" s="1465"/>
    </row>
    <row r="3425" spans="11:11">
      <c r="K3425" s="1465"/>
    </row>
    <row r="3426" spans="11:11">
      <c r="K3426" s="1465"/>
    </row>
    <row r="3427" spans="11:11">
      <c r="K3427" s="1465"/>
    </row>
    <row r="3428" spans="11:11">
      <c r="K3428" s="1465"/>
    </row>
    <row r="3429" spans="11:11">
      <c r="K3429" s="1465"/>
    </row>
    <row r="3430" spans="11:11">
      <c r="K3430" s="1465"/>
    </row>
    <row r="3431" spans="11:11">
      <c r="K3431" s="1465"/>
    </row>
    <row r="3432" spans="11:11">
      <c r="K3432" s="1465"/>
    </row>
    <row r="3433" spans="11:11">
      <c r="K3433" s="1465"/>
    </row>
    <row r="3434" spans="11:11">
      <c r="K3434" s="1465"/>
    </row>
    <row r="3435" spans="11:11">
      <c r="K3435" s="1465"/>
    </row>
    <row r="3436" spans="11:11">
      <c r="K3436" s="1465"/>
    </row>
    <row r="3437" spans="11:11">
      <c r="K3437" s="1465"/>
    </row>
    <row r="3438" spans="11:11">
      <c r="K3438" s="1465"/>
    </row>
    <row r="3439" spans="11:11">
      <c r="K3439" s="1465"/>
    </row>
    <row r="3440" spans="11:11">
      <c r="K3440" s="1465"/>
    </row>
    <row r="3441" spans="11:11">
      <c r="K3441" s="1465"/>
    </row>
    <row r="3442" spans="11:11">
      <c r="K3442" s="1465"/>
    </row>
    <row r="3443" spans="11:11">
      <c r="K3443" s="1465"/>
    </row>
    <row r="3444" spans="11:11">
      <c r="K3444" s="1465"/>
    </row>
    <row r="3445" spans="11:11">
      <c r="K3445" s="1465"/>
    </row>
    <row r="3446" spans="11:11">
      <c r="K3446" s="1465"/>
    </row>
    <row r="3447" spans="11:11">
      <c r="K3447" s="1465"/>
    </row>
    <row r="3448" spans="11:11">
      <c r="K3448" s="1465"/>
    </row>
    <row r="3449" spans="11:11">
      <c r="K3449" s="1465"/>
    </row>
    <row r="3450" spans="11:11">
      <c r="K3450" s="1465"/>
    </row>
    <row r="3451" spans="11:11">
      <c r="K3451" s="1465"/>
    </row>
    <row r="3452" spans="11:11">
      <c r="K3452" s="1465"/>
    </row>
    <row r="3453" spans="11:11">
      <c r="K3453" s="1465"/>
    </row>
    <row r="3454" spans="11:11">
      <c r="K3454" s="1465"/>
    </row>
    <row r="3455" spans="11:11">
      <c r="K3455" s="1465"/>
    </row>
    <row r="3456" spans="11:11">
      <c r="K3456" s="1465"/>
    </row>
    <row r="3457" spans="11:11">
      <c r="K3457" s="1465"/>
    </row>
    <row r="3458" spans="11:11">
      <c r="K3458" s="1465"/>
    </row>
    <row r="3459" spans="11:11">
      <c r="K3459" s="1465"/>
    </row>
    <row r="3460" spans="11:11">
      <c r="K3460" s="1465"/>
    </row>
    <row r="3461" spans="11:11">
      <c r="K3461" s="1465"/>
    </row>
    <row r="3462" spans="11:11">
      <c r="K3462" s="1465"/>
    </row>
    <row r="3463" spans="11:11">
      <c r="K3463" s="1465"/>
    </row>
    <row r="3464" spans="11:11">
      <c r="K3464" s="1465"/>
    </row>
    <row r="3465" spans="11:11">
      <c r="K3465" s="1465"/>
    </row>
    <row r="3466" spans="11:11">
      <c r="K3466" s="1465"/>
    </row>
    <row r="3467" spans="11:11">
      <c r="K3467" s="1465"/>
    </row>
    <row r="3468" spans="11:11">
      <c r="K3468" s="1465"/>
    </row>
    <row r="3469" spans="11:11">
      <c r="K3469" s="1465"/>
    </row>
    <row r="3470" spans="11:11">
      <c r="K3470" s="1465"/>
    </row>
    <row r="3471" spans="11:11">
      <c r="K3471" s="1465"/>
    </row>
    <row r="3472" spans="11:11">
      <c r="K3472" s="1465"/>
    </row>
    <row r="3473" spans="11:11">
      <c r="K3473" s="1465"/>
    </row>
    <row r="3474" spans="11:11">
      <c r="K3474" s="1465"/>
    </row>
    <row r="3475" spans="11:11">
      <c r="K3475" s="1465"/>
    </row>
    <row r="3476" spans="11:11">
      <c r="K3476" s="1465"/>
    </row>
    <row r="3477" spans="11:11">
      <c r="K3477" s="1465"/>
    </row>
    <row r="3478" spans="11:11">
      <c r="K3478" s="1465"/>
    </row>
    <row r="3479" spans="11:11">
      <c r="K3479" s="1465"/>
    </row>
    <row r="3480" spans="11:11">
      <c r="K3480" s="1465"/>
    </row>
    <row r="3481" spans="11:11">
      <c r="K3481" s="1465"/>
    </row>
    <row r="3482" spans="11:11">
      <c r="K3482" s="1465"/>
    </row>
    <row r="3483" spans="11:11">
      <c r="K3483" s="1465"/>
    </row>
    <row r="3484" spans="11:11">
      <c r="K3484" s="1465"/>
    </row>
    <row r="3485" spans="11:11">
      <c r="K3485" s="1465"/>
    </row>
    <row r="3486" spans="11:11">
      <c r="K3486" s="1465"/>
    </row>
    <row r="3487" spans="11:11">
      <c r="K3487" s="1465"/>
    </row>
    <row r="3488" spans="11:11">
      <c r="K3488" s="1465"/>
    </row>
    <row r="3489" spans="11:11">
      <c r="K3489" s="1465"/>
    </row>
    <row r="3490" spans="11:11">
      <c r="K3490" s="1465"/>
    </row>
    <row r="3491" spans="11:11">
      <c r="K3491" s="1465"/>
    </row>
    <row r="3492" spans="11:11">
      <c r="K3492" s="1465"/>
    </row>
    <row r="3493" spans="11:11">
      <c r="K3493" s="1465"/>
    </row>
    <row r="3494" spans="11:11">
      <c r="K3494" s="1465"/>
    </row>
    <row r="3495" spans="11:11">
      <c r="K3495" s="1465"/>
    </row>
    <row r="3496" spans="11:11">
      <c r="K3496" s="1465"/>
    </row>
    <row r="3497" spans="11:11">
      <c r="K3497" s="1465"/>
    </row>
    <row r="3498" spans="11:11">
      <c r="K3498" s="1465"/>
    </row>
    <row r="3499" spans="11:11">
      <c r="K3499" s="1465"/>
    </row>
    <row r="3500" spans="11:11">
      <c r="K3500" s="1465"/>
    </row>
    <row r="3501" spans="11:11">
      <c r="K3501" s="1465"/>
    </row>
    <row r="3502" spans="11:11">
      <c r="K3502" s="1465"/>
    </row>
    <row r="3503" spans="11:11">
      <c r="K3503" s="1465"/>
    </row>
    <row r="3504" spans="11:11">
      <c r="K3504" s="1465"/>
    </row>
    <row r="3505" spans="11:11">
      <c r="K3505" s="1465"/>
    </row>
    <row r="3506" spans="11:11">
      <c r="K3506" s="1465"/>
    </row>
    <row r="3507" spans="11:11">
      <c r="K3507" s="1465"/>
    </row>
    <row r="3508" spans="11:11">
      <c r="K3508" s="1465"/>
    </row>
    <row r="3509" spans="11:11">
      <c r="K3509" s="1465"/>
    </row>
    <row r="3510" spans="11:11">
      <c r="K3510" s="1465"/>
    </row>
    <row r="3511" spans="11:11">
      <c r="K3511" s="1465"/>
    </row>
    <row r="3512" spans="11:11">
      <c r="K3512" s="1465"/>
    </row>
    <row r="3513" spans="11:11">
      <c r="K3513" s="1465"/>
    </row>
    <row r="3514" spans="11:11">
      <c r="K3514" s="1465"/>
    </row>
    <row r="3515" spans="11:11">
      <c r="K3515" s="1465"/>
    </row>
    <row r="3516" spans="11:11">
      <c r="K3516" s="1465"/>
    </row>
    <row r="3517" spans="11:11">
      <c r="K3517" s="1465"/>
    </row>
    <row r="3518" spans="11:11">
      <c r="K3518" s="1465"/>
    </row>
    <row r="3519" spans="11:11">
      <c r="K3519" s="1465"/>
    </row>
    <row r="3520" spans="11:11">
      <c r="K3520" s="1465"/>
    </row>
    <row r="3521" spans="11:11">
      <c r="K3521" s="1465"/>
    </row>
    <row r="3522" spans="11:11">
      <c r="K3522" s="1465"/>
    </row>
    <row r="3523" spans="11:11">
      <c r="K3523" s="1465"/>
    </row>
    <row r="3524" spans="11:11">
      <c r="K3524" s="1465"/>
    </row>
    <row r="3525" spans="11:11">
      <c r="K3525" s="1465"/>
    </row>
    <row r="3526" spans="11:11">
      <c r="K3526" s="1465"/>
    </row>
    <row r="3527" spans="11:11">
      <c r="K3527" s="1465"/>
    </row>
    <row r="3528" spans="11:11">
      <c r="K3528" s="1465"/>
    </row>
    <row r="3529" spans="11:11">
      <c r="K3529" s="1465"/>
    </row>
    <row r="3530" spans="11:11">
      <c r="K3530" s="1465"/>
    </row>
    <row r="3531" spans="11:11">
      <c r="K3531" s="1465"/>
    </row>
    <row r="3532" spans="11:11">
      <c r="K3532" s="1465"/>
    </row>
    <row r="3533" spans="11:11">
      <c r="K3533" s="1465"/>
    </row>
    <row r="3534" spans="11:11">
      <c r="K3534" s="1465"/>
    </row>
    <row r="3535" spans="11:11">
      <c r="K3535" s="1465"/>
    </row>
    <row r="3536" spans="11:11">
      <c r="K3536" s="1465"/>
    </row>
    <row r="3537" spans="11:11">
      <c r="K3537" s="1465"/>
    </row>
    <row r="3538" spans="11:11">
      <c r="K3538" s="1465"/>
    </row>
    <row r="3539" spans="11:11">
      <c r="K3539" s="1465"/>
    </row>
    <row r="3540" spans="11:11">
      <c r="K3540" s="1465"/>
    </row>
    <row r="3541" spans="11:11">
      <c r="K3541" s="1465"/>
    </row>
    <row r="3542" spans="11:11">
      <c r="K3542" s="1465"/>
    </row>
    <row r="3543" spans="11:11">
      <c r="K3543" s="1465"/>
    </row>
    <row r="3544" spans="11:11">
      <c r="K3544" s="1465"/>
    </row>
    <row r="3545" spans="11:11">
      <c r="K3545" s="1465"/>
    </row>
    <row r="3546" spans="11:11">
      <c r="K3546" s="1465"/>
    </row>
    <row r="3547" spans="11:11">
      <c r="K3547" s="1465"/>
    </row>
    <row r="3548" spans="11:11">
      <c r="K3548" s="1465"/>
    </row>
    <row r="3549" spans="11:11">
      <c r="K3549" s="1465"/>
    </row>
    <row r="3550" spans="11:11">
      <c r="K3550" s="1465"/>
    </row>
    <row r="3551" spans="11:11">
      <c r="K3551" s="1465"/>
    </row>
    <row r="3552" spans="11:11">
      <c r="K3552" s="1465"/>
    </row>
    <row r="3553" spans="11:11">
      <c r="K3553" s="1465"/>
    </row>
    <row r="3554" spans="11:11">
      <c r="K3554" s="1465"/>
    </row>
    <row r="3555" spans="11:11">
      <c r="K3555" s="1465"/>
    </row>
    <row r="3556" spans="11:11">
      <c r="K3556" s="1465"/>
    </row>
    <row r="3557" spans="11:11">
      <c r="K3557" s="1465"/>
    </row>
    <row r="3558" spans="11:11">
      <c r="K3558" s="1465"/>
    </row>
    <row r="3559" spans="11:11">
      <c r="K3559" s="1465"/>
    </row>
    <row r="3560" spans="11:11">
      <c r="K3560" s="1465"/>
    </row>
    <row r="3561" spans="11:11">
      <c r="K3561" s="1465"/>
    </row>
    <row r="3562" spans="11:11">
      <c r="K3562" s="1465"/>
    </row>
    <row r="3563" spans="11:11">
      <c r="K3563" s="1465"/>
    </row>
    <row r="3564" spans="11:11">
      <c r="K3564" s="1465"/>
    </row>
    <row r="3565" spans="11:11">
      <c r="K3565" s="1465"/>
    </row>
    <row r="3566" spans="11:11">
      <c r="K3566" s="1465"/>
    </row>
    <row r="3567" spans="11:11">
      <c r="K3567" s="1465"/>
    </row>
    <row r="3568" spans="11:11">
      <c r="K3568" s="1465"/>
    </row>
    <row r="3569" spans="11:11">
      <c r="K3569" s="1465"/>
    </row>
    <row r="3570" spans="11:11">
      <c r="K3570" s="1465"/>
    </row>
    <row r="3571" spans="11:11">
      <c r="K3571" s="1465"/>
    </row>
    <row r="3572" spans="11:11">
      <c r="K3572" s="1465"/>
    </row>
    <row r="3573" spans="11:11">
      <c r="K3573" s="1465"/>
    </row>
    <row r="3574" spans="11:11">
      <c r="K3574" s="1465"/>
    </row>
    <row r="3575" spans="11:11">
      <c r="K3575" s="1465"/>
    </row>
    <row r="3576" spans="11:11">
      <c r="K3576" s="1465"/>
    </row>
    <row r="3577" spans="11:11">
      <c r="K3577" s="1465"/>
    </row>
    <row r="3578" spans="11:11">
      <c r="K3578" s="1465"/>
    </row>
    <row r="3579" spans="11:11">
      <c r="K3579" s="1465"/>
    </row>
    <row r="3580" spans="11:11">
      <c r="K3580" s="1465"/>
    </row>
    <row r="3581" spans="11:11">
      <c r="K3581" s="1465"/>
    </row>
    <row r="3582" spans="11:11">
      <c r="K3582" s="1465"/>
    </row>
    <row r="3583" spans="11:11">
      <c r="K3583" s="1465"/>
    </row>
    <row r="3584" spans="11:11">
      <c r="K3584" s="1465"/>
    </row>
    <row r="3585" spans="11:11">
      <c r="K3585" s="1465"/>
    </row>
    <row r="3586" spans="11:11">
      <c r="K3586" s="1465"/>
    </row>
    <row r="3587" spans="11:11">
      <c r="K3587" s="1465"/>
    </row>
    <row r="3588" spans="11:11">
      <c r="K3588" s="1465"/>
    </row>
    <row r="3589" spans="11:11">
      <c r="K3589" s="1465"/>
    </row>
    <row r="3590" spans="11:11">
      <c r="K3590" s="1465"/>
    </row>
    <row r="3591" spans="11:11">
      <c r="K3591" s="1465"/>
    </row>
    <row r="3592" spans="11:11">
      <c r="K3592" s="1465"/>
    </row>
    <row r="3593" spans="11:11">
      <c r="K3593" s="1465"/>
    </row>
    <row r="3594" spans="11:11">
      <c r="K3594" s="1465"/>
    </row>
    <row r="3595" spans="11:11">
      <c r="K3595" s="1465"/>
    </row>
    <row r="3596" spans="11:11">
      <c r="K3596" s="1465"/>
    </row>
    <row r="3597" spans="11:11">
      <c r="K3597" s="1465"/>
    </row>
    <row r="3598" spans="11:11">
      <c r="K3598" s="1465"/>
    </row>
    <row r="3599" spans="11:11">
      <c r="K3599" s="1465"/>
    </row>
    <row r="3600" spans="11:11">
      <c r="K3600" s="1465"/>
    </row>
    <row r="3601" spans="11:11">
      <c r="K3601" s="1465"/>
    </row>
    <row r="3602" spans="11:11">
      <c r="K3602" s="1465"/>
    </row>
    <row r="3603" spans="11:11">
      <c r="K3603" s="1465"/>
    </row>
    <row r="3604" spans="11:11">
      <c r="K3604" s="1465"/>
    </row>
    <row r="3605" spans="11:11">
      <c r="K3605" s="1465"/>
    </row>
    <row r="3606" spans="11:11">
      <c r="K3606" s="1465"/>
    </row>
    <row r="3607" spans="11:11">
      <c r="K3607" s="1465"/>
    </row>
    <row r="3608" spans="11:11">
      <c r="K3608" s="1465"/>
    </row>
    <row r="3609" spans="11:11">
      <c r="K3609" s="1465"/>
    </row>
    <row r="3610" spans="11:11">
      <c r="K3610" s="1465"/>
    </row>
    <row r="3611" spans="11:11">
      <c r="K3611" s="1465"/>
    </row>
    <row r="3612" spans="11:11">
      <c r="K3612" s="1465"/>
    </row>
    <row r="3613" spans="11:11">
      <c r="K3613" s="1465"/>
    </row>
    <row r="3614" spans="11:11">
      <c r="K3614" s="1465"/>
    </row>
    <row r="3615" spans="11:11">
      <c r="K3615" s="1465"/>
    </row>
    <row r="3616" spans="11:11">
      <c r="K3616" s="1465"/>
    </row>
    <row r="3617" spans="11:11">
      <c r="K3617" s="1465"/>
    </row>
    <row r="3618" spans="11:11">
      <c r="K3618" s="1465"/>
    </row>
    <row r="3619" spans="11:11">
      <c r="K3619" s="1465"/>
    </row>
    <row r="3620" spans="11:11">
      <c r="K3620" s="1465"/>
    </row>
    <row r="3621" spans="11:11">
      <c r="K3621" s="1465"/>
    </row>
    <row r="3622" spans="11:11">
      <c r="K3622" s="1465"/>
    </row>
    <row r="3623" spans="11:11">
      <c r="K3623" s="1465"/>
    </row>
    <row r="3624" spans="11:11">
      <c r="K3624" s="1465"/>
    </row>
    <row r="3625" spans="11:11">
      <c r="K3625" s="1465"/>
    </row>
    <row r="3626" spans="11:11">
      <c r="K3626" s="1465"/>
    </row>
    <row r="3627" spans="11:11">
      <c r="K3627" s="1465"/>
    </row>
    <row r="3628" spans="11:11">
      <c r="K3628" s="1465"/>
    </row>
    <row r="3629" spans="11:11">
      <c r="K3629" s="1465"/>
    </row>
    <row r="3630" spans="11:11">
      <c r="K3630" s="1465"/>
    </row>
    <row r="3631" spans="11:11">
      <c r="K3631" s="1465"/>
    </row>
    <row r="3632" spans="11:11">
      <c r="K3632" s="1465"/>
    </row>
    <row r="3633" spans="11:11">
      <c r="K3633" s="1465"/>
    </row>
    <row r="3634" spans="11:11">
      <c r="K3634" s="1465"/>
    </row>
    <row r="3635" spans="11:11">
      <c r="K3635" s="1465"/>
    </row>
    <row r="3636" spans="11:11">
      <c r="K3636" s="1465"/>
    </row>
    <row r="3637" spans="11:11">
      <c r="K3637" s="1465"/>
    </row>
    <row r="3638" spans="11:11">
      <c r="K3638" s="1465"/>
    </row>
    <row r="3639" spans="11:11">
      <c r="K3639" s="1465"/>
    </row>
    <row r="3640" spans="11:11">
      <c r="K3640" s="1465"/>
    </row>
    <row r="3641" spans="11:11">
      <c r="K3641" s="1465"/>
    </row>
    <row r="3642" spans="11:11">
      <c r="K3642" s="1465"/>
    </row>
    <row r="3643" spans="11:11">
      <c r="K3643" s="1465"/>
    </row>
    <row r="3644" spans="11:11">
      <c r="K3644" s="1465"/>
    </row>
    <row r="3645" spans="11:11">
      <c r="K3645" s="1465"/>
    </row>
    <row r="3646" spans="11:11">
      <c r="K3646" s="1465"/>
    </row>
    <row r="3647" spans="11:11">
      <c r="K3647" s="1465"/>
    </row>
    <row r="3648" spans="11:11">
      <c r="K3648" s="1465"/>
    </row>
    <row r="3649" spans="11:11">
      <c r="K3649" s="1465"/>
    </row>
    <row r="3650" spans="11:11">
      <c r="K3650" s="1465"/>
    </row>
    <row r="3651" spans="11:11">
      <c r="K3651" s="1465"/>
    </row>
    <row r="3652" spans="11:11">
      <c r="K3652" s="1465"/>
    </row>
    <row r="3653" spans="11:11">
      <c r="K3653" s="1465"/>
    </row>
    <row r="3654" spans="11:11">
      <c r="K3654" s="1465"/>
    </row>
    <row r="3655" spans="11:11">
      <c r="K3655" s="1465"/>
    </row>
    <row r="3656" spans="11:11">
      <c r="K3656" s="1465"/>
    </row>
    <row r="3657" spans="11:11">
      <c r="K3657" s="1465"/>
    </row>
    <row r="3658" spans="11:11">
      <c r="K3658" s="1465"/>
    </row>
    <row r="3659" spans="11:11">
      <c r="K3659" s="1465"/>
    </row>
    <row r="3660" spans="11:11">
      <c r="K3660" s="1465"/>
    </row>
    <row r="3661" spans="11:11">
      <c r="K3661" s="1465"/>
    </row>
    <row r="3662" spans="11:11">
      <c r="K3662" s="1465"/>
    </row>
    <row r="3663" spans="11:11">
      <c r="K3663" s="1465"/>
    </row>
    <row r="3664" spans="11:11">
      <c r="K3664" s="1465"/>
    </row>
    <row r="3665" spans="11:11">
      <c r="K3665" s="1465"/>
    </row>
    <row r="3666" spans="11:11">
      <c r="K3666" s="1465"/>
    </row>
    <row r="3667" spans="11:11">
      <c r="K3667" s="1465"/>
    </row>
    <row r="3668" spans="11:11">
      <c r="K3668" s="1465"/>
    </row>
    <row r="3669" spans="11:11">
      <c r="K3669" s="1465"/>
    </row>
    <row r="3670" spans="11:11">
      <c r="K3670" s="1465"/>
    </row>
    <row r="3671" spans="11:11">
      <c r="K3671" s="1465"/>
    </row>
    <row r="3672" spans="11:11">
      <c r="K3672" s="1465"/>
    </row>
    <row r="3673" spans="11:11">
      <c r="K3673" s="1465"/>
    </row>
    <row r="3674" spans="11:11">
      <c r="K3674" s="1465"/>
    </row>
    <row r="3675" spans="11:11">
      <c r="K3675" s="1465"/>
    </row>
    <row r="3676" spans="11:11">
      <c r="K3676" s="1465"/>
    </row>
    <row r="3677" spans="11:11">
      <c r="K3677" s="1465"/>
    </row>
    <row r="3678" spans="11:11">
      <c r="K3678" s="1465"/>
    </row>
    <row r="3679" spans="11:11">
      <c r="K3679" s="1465"/>
    </row>
    <row r="3680" spans="11:11">
      <c r="K3680" s="1465"/>
    </row>
    <row r="3681" spans="11:11">
      <c r="K3681" s="1465"/>
    </row>
    <row r="3682" spans="11:11">
      <c r="K3682" s="1465"/>
    </row>
    <row r="3683" spans="11:11">
      <c r="K3683" s="1465"/>
    </row>
    <row r="3684" spans="11:11">
      <c r="K3684" s="1465"/>
    </row>
    <row r="3685" spans="11:11">
      <c r="K3685" s="1465"/>
    </row>
    <row r="3686" spans="11:11">
      <c r="K3686" s="1465"/>
    </row>
    <row r="3687" spans="11:11">
      <c r="K3687" s="1465"/>
    </row>
    <row r="3688" spans="11:11">
      <c r="K3688" s="1465"/>
    </row>
    <row r="3689" spans="11:11">
      <c r="K3689" s="1465"/>
    </row>
    <row r="3690" spans="11:11">
      <c r="K3690" s="1465"/>
    </row>
    <row r="3691" spans="11:11">
      <c r="K3691" s="1465"/>
    </row>
    <row r="3692" spans="11:11">
      <c r="K3692" s="1465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29" workbookViewId="0">
      <selection activeCell="L52" sqref="L5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77" t="s">
        <v>2200</v>
      </c>
      <c r="B9" s="1577" t="s">
        <v>2201</v>
      </c>
      <c r="C9" s="1577"/>
      <c r="D9" s="1577" t="s">
        <v>2202</v>
      </c>
      <c r="E9" s="1696" t="s">
        <v>2227</v>
      </c>
      <c r="F9" s="1696" t="s">
        <v>2226</v>
      </c>
      <c r="G9" s="1696" t="s">
        <v>36</v>
      </c>
    </row>
    <row r="10" spans="1:11">
      <c r="A10" s="1868" t="s">
        <v>751</v>
      </c>
      <c r="B10" s="1868" t="s">
        <v>2074</v>
      </c>
      <c r="C10" s="1578">
        <v>12</v>
      </c>
      <c r="D10" s="1578" t="s">
        <v>2032</v>
      </c>
      <c r="E10" s="1697">
        <f>Encargos!I20</f>
        <v>0</v>
      </c>
      <c r="F10" s="1697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697">
        <f>(SUMIFS(Financeiros[Valor],Financeiros[iddet1],19,Financeiros[iddet2],60,Financeiros[id_Detalhe_Grupo_TARIFA],C10))</f>
        <v>0</v>
      </c>
      <c r="K10" s="9"/>
    </row>
    <row r="11" spans="1:11">
      <c r="A11" s="1869"/>
      <c r="B11" s="1868"/>
      <c r="C11" s="1578">
        <v>14</v>
      </c>
      <c r="D11" s="1578" t="s">
        <v>40</v>
      </c>
      <c r="E11" s="1697">
        <f ca="1">Resultado!D17</f>
        <v>60318.578824742086</v>
      </c>
      <c r="F11" s="1697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-631.8579431823332</v>
      </c>
      <c r="G11" s="1697">
        <f>(SUMIFS(Financeiros[Valor],Financeiros[iddet1],19,Financeiros[iddet2],60,Financeiros[id_Detalhe_Grupo_TARIFA],C11))</f>
        <v>0</v>
      </c>
    </row>
    <row r="12" spans="1:11">
      <c r="A12" s="1869"/>
      <c r="B12" s="1868"/>
      <c r="C12" s="1578">
        <v>19</v>
      </c>
      <c r="D12" s="1578" t="s">
        <v>48</v>
      </c>
      <c r="E12" s="1697">
        <f ca="1">Resultado!D22-E38</f>
        <v>0</v>
      </c>
      <c r="F12" s="1697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697">
        <f>(SUMIFS(Financeiros[Valor],Financeiros[iddet1],19,Financeiros[iddet2],60,Financeiros[id_Detalhe_Grupo_TARIFA],C12))</f>
        <v>0</v>
      </c>
    </row>
    <row r="13" spans="1:11">
      <c r="A13" s="1869"/>
      <c r="B13" s="1868"/>
      <c r="C13" s="1578">
        <v>20</v>
      </c>
      <c r="D13" s="1578" t="s">
        <v>49</v>
      </c>
      <c r="E13" s="1697">
        <f>Resultado!D23</f>
        <v>0</v>
      </c>
      <c r="F13" s="1697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697">
        <f>(SUMIFS(Financeiros[Valor],Financeiros[iddet1],19,Financeiros[iddet2],60,Financeiros[id_Detalhe_Grupo_TARIFA],C13))</f>
        <v>0</v>
      </c>
    </row>
    <row r="14" spans="1:11">
      <c r="A14" s="1869"/>
      <c r="B14" s="1868"/>
      <c r="C14" s="1578">
        <v>13</v>
      </c>
      <c r="D14" s="1578" t="s">
        <v>39</v>
      </c>
      <c r="E14" s="1697">
        <f>Resultado!D16</f>
        <v>0</v>
      </c>
      <c r="F14" s="1697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697">
        <f>(SUMIFS(Financeiros[Valor],Financeiros[iddet1],19,Financeiros[iddet2],60,Financeiros[id_Detalhe_Grupo_TARIFA],C14))</f>
        <v>0</v>
      </c>
    </row>
    <row r="15" spans="1:11">
      <c r="A15" s="1869"/>
      <c r="B15" s="1868"/>
      <c r="C15" s="1578">
        <v>15</v>
      </c>
      <c r="D15" s="1578" t="s">
        <v>41</v>
      </c>
      <c r="E15" s="1697">
        <f ca="1">Encargos!I19</f>
        <v>3547574.1107399999</v>
      </c>
      <c r="F15" s="1697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-29649.206855117383</v>
      </c>
      <c r="G15" s="1697">
        <f>(SUMIFS(Financeiros[Valor],Financeiros[iddet1],19,Financeiros[iddet2],60,Financeiros[id_Detalhe_Grupo_TARIFA],C15))</f>
        <v>0</v>
      </c>
    </row>
    <row r="16" spans="1:11">
      <c r="A16" s="1869"/>
      <c r="B16" s="1868"/>
      <c r="C16" s="1578">
        <v>18</v>
      </c>
      <c r="D16" s="1578" t="s">
        <v>47</v>
      </c>
      <c r="E16" s="1697">
        <f ca="1">Resultado!D21</f>
        <v>628596.9297000001</v>
      </c>
      <c r="F16" s="1697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-5292.8430167260067</v>
      </c>
      <c r="G16" s="1697">
        <f>(SUMIFS(Financeiros[Valor],Financeiros[iddet1],19,Financeiros[iddet2],60,Financeiros[id_Detalhe_Grupo_TARIFA],C16))</f>
        <v>0</v>
      </c>
    </row>
    <row r="17" spans="1:7">
      <c r="A17" s="1869"/>
      <c r="B17" s="1868"/>
      <c r="C17" s="1578"/>
      <c r="D17" s="1578" t="s">
        <v>2203</v>
      </c>
      <c r="E17" s="1697">
        <v>0</v>
      </c>
      <c r="F17" s="1697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697">
        <v>0</v>
      </c>
    </row>
    <row r="18" spans="1:7">
      <c r="A18" s="1869"/>
      <c r="B18" s="1868"/>
      <c r="C18" s="1578"/>
      <c r="D18" s="1680" t="s">
        <v>2204</v>
      </c>
      <c r="E18" s="1697">
        <f ca="1">SUM(E10:E17)</f>
        <v>4236489.6192647424</v>
      </c>
      <c r="F18" s="1697">
        <f t="shared" ref="F18:G18" ca="1" si="0">SUM(F10:F17)</f>
        <v>-35573.907815025726</v>
      </c>
      <c r="G18" s="1697">
        <f t="shared" si="0"/>
        <v>0</v>
      </c>
    </row>
    <row r="19" spans="1:7">
      <c r="A19" s="1869"/>
      <c r="B19" s="1868" t="s">
        <v>2205</v>
      </c>
      <c r="C19" s="1578">
        <v>1</v>
      </c>
      <c r="D19" s="1578" t="s">
        <v>2206</v>
      </c>
      <c r="E19" s="1697">
        <f>Resultado!D25</f>
        <v>0</v>
      </c>
      <c r="F19" s="1697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697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69"/>
      <c r="B20" s="1868"/>
      <c r="C20" s="1578">
        <v>2</v>
      </c>
      <c r="D20" s="1578" t="s">
        <v>2207</v>
      </c>
      <c r="E20" s="1697">
        <f>Resultado!D26</f>
        <v>0</v>
      </c>
      <c r="F20" s="1697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697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69"/>
      <c r="B21" s="1868"/>
      <c r="C21" s="1578">
        <v>3</v>
      </c>
      <c r="D21" s="1578" t="s">
        <v>2208</v>
      </c>
      <c r="E21" s="1697">
        <f>Resultado!D31</f>
        <v>0</v>
      </c>
      <c r="F21" s="1697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697">
        <f>(SUMIFS(Financeiros[Valor],Financeiros[iddet1],19,Financeiros[iddet2],60,Financeiros[id_Detalhe_Grupo_TARIFA],C21))</f>
        <v>0</v>
      </c>
    </row>
    <row r="22" spans="1:7">
      <c r="A22" s="1869"/>
      <c r="B22" s="1868"/>
      <c r="C22" s="1578">
        <v>4</v>
      </c>
      <c r="D22" s="1578" t="s">
        <v>2209</v>
      </c>
      <c r="E22" s="1697">
        <f>0</f>
        <v>0</v>
      </c>
      <c r="F22" s="1697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697">
        <f>(SUMIFS(Financeiros[Valor],Financeiros[iddet1],19,Financeiros[iddet2],60,Financeiros[id_Detalhe_Grupo_TARIFA],C22))</f>
        <v>0</v>
      </c>
    </row>
    <row r="23" spans="1:7">
      <c r="A23" s="1869"/>
      <c r="B23" s="1868"/>
      <c r="C23" s="1578">
        <v>7</v>
      </c>
      <c r="D23" s="1578" t="s">
        <v>950</v>
      </c>
      <c r="E23" s="1697">
        <f>Resultado!D32</f>
        <v>4882651.6637400007</v>
      </c>
      <c r="F23" s="1697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-142938.17947389829</v>
      </c>
      <c r="G23" s="1697">
        <f>(SUMIFS(Financeiros[Valor],Financeiros[iddet1],19,Financeiros[iddet2],60,Financeiros[id_Detalhe_Grupo_TARIFA],C23))</f>
        <v>0</v>
      </c>
    </row>
    <row r="24" spans="1:7">
      <c r="A24" s="1869"/>
      <c r="B24" s="1868"/>
      <c r="C24" s="1578">
        <v>6</v>
      </c>
      <c r="D24" s="1578" t="s">
        <v>2210</v>
      </c>
      <c r="E24" s="1697">
        <f>Resultado!D28</f>
        <v>0</v>
      </c>
      <c r="F24" s="1697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697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69"/>
      <c r="B25" s="1868"/>
      <c r="C25" s="1578">
        <v>5</v>
      </c>
      <c r="D25" s="1578" t="s">
        <v>2211</v>
      </c>
      <c r="E25" s="1697">
        <f>Resultado!D27</f>
        <v>0</v>
      </c>
      <c r="F25" s="1697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697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69"/>
      <c r="B26" s="1868"/>
      <c r="C26" s="1578"/>
      <c r="D26" s="1680" t="s">
        <v>2204</v>
      </c>
      <c r="E26" s="1697">
        <f>SUM(E19:E25)</f>
        <v>4882651.6637400007</v>
      </c>
      <c r="F26" s="1697">
        <f t="shared" ref="F26:G26" si="1">SUM(F19:F25)</f>
        <v>-142938.17947389829</v>
      </c>
      <c r="G26" s="1697">
        <f t="shared" si="1"/>
        <v>0</v>
      </c>
    </row>
    <row r="27" spans="1:7">
      <c r="A27" s="1869"/>
      <c r="B27" s="1868" t="s">
        <v>2212</v>
      </c>
      <c r="C27" s="1578">
        <v>999</v>
      </c>
      <c r="D27" s="1578" t="s">
        <v>951</v>
      </c>
      <c r="E27" s="1697">
        <f>LnkTXTIParcelaBcomSub</f>
        <v>14343053.986877607</v>
      </c>
      <c r="F27" s="1697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-2548674.1739379396</v>
      </c>
      <c r="G27" s="1697">
        <v>0</v>
      </c>
    </row>
    <row r="28" spans="1:7">
      <c r="A28" s="1869"/>
      <c r="B28" s="1868"/>
      <c r="C28" s="1578"/>
      <c r="D28" s="1680" t="s">
        <v>2204</v>
      </c>
      <c r="E28" s="1697">
        <f>SUM(E27)</f>
        <v>14343053.986877607</v>
      </c>
      <c r="F28" s="1697">
        <f t="shared" ref="F28:G28" ca="1" si="2">SUM(F27)</f>
        <v>-2548674.1739379396</v>
      </c>
      <c r="G28" s="1697">
        <f t="shared" si="2"/>
        <v>0</v>
      </c>
    </row>
    <row r="29" spans="1:7">
      <c r="A29" s="1869"/>
      <c r="B29" s="1868" t="s">
        <v>2213</v>
      </c>
      <c r="C29" s="1578">
        <v>179</v>
      </c>
      <c r="D29" s="1578" t="s">
        <v>2214</v>
      </c>
      <c r="E29" s="1697">
        <v>0</v>
      </c>
      <c r="F29" s="1697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697">
        <v>0</v>
      </c>
    </row>
    <row r="30" spans="1:7">
      <c r="A30" s="1869"/>
      <c r="B30" s="1868"/>
      <c r="C30" s="1578"/>
      <c r="D30" s="1578" t="s">
        <v>947</v>
      </c>
      <c r="E30" s="1697">
        <v>0</v>
      </c>
      <c r="F30" s="1697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697">
        <v>0</v>
      </c>
    </row>
    <row r="31" spans="1:7">
      <c r="A31" s="1869"/>
      <c r="B31" s="1868"/>
      <c r="C31" s="1578"/>
      <c r="D31" s="1680" t="s">
        <v>2204</v>
      </c>
      <c r="E31" s="1697">
        <f>SUM(E29:E30)</f>
        <v>0</v>
      </c>
      <c r="F31" s="1697">
        <f t="shared" ref="F31:G31" ca="1" si="3">SUM(F29:F30)</f>
        <v>0</v>
      </c>
      <c r="G31" s="1697">
        <f t="shared" si="3"/>
        <v>0</v>
      </c>
    </row>
    <row r="32" spans="1:7">
      <c r="A32" s="1869"/>
      <c r="B32" s="1868" t="s">
        <v>2215</v>
      </c>
      <c r="C32" s="1578">
        <v>8</v>
      </c>
      <c r="D32" s="1578" t="s">
        <v>2216</v>
      </c>
      <c r="E32" s="1697">
        <f ca="1">Energia!D11*Energia!D14</f>
        <v>637460.39136771404</v>
      </c>
      <c r="F32" s="1697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-11659.138765059779</v>
      </c>
      <c r="G32" s="1697">
        <f>(SUMIFS(Financeiros[Valor],Financeiros[iddet1],19,Financeiros[iddet2],60,Financeiros[id_Detalhe_Grupo_TARIFA],C32))</f>
        <v>0</v>
      </c>
    </row>
    <row r="33" spans="1:7">
      <c r="A33" s="1869"/>
      <c r="B33" s="1868"/>
      <c r="C33" s="1578">
        <v>10</v>
      </c>
      <c r="D33" s="1578" t="s">
        <v>2217</v>
      </c>
      <c r="E33" s="1697">
        <f ca="1">Energia!D12*Energia!D14</f>
        <v>0</v>
      </c>
      <c r="F33" s="1697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697">
        <f>(SUMIFS(Financeiros[Valor],Financeiros[iddet1],19,Financeiros[iddet2],60,Financeiros[id_Detalhe_Grupo_TARIFA],C33))</f>
        <v>0</v>
      </c>
    </row>
    <row r="34" spans="1:7">
      <c r="A34" s="1869"/>
      <c r="B34" s="1868"/>
      <c r="C34" s="1578">
        <v>9</v>
      </c>
      <c r="D34" s="1578" t="s">
        <v>2218</v>
      </c>
      <c r="E34" s="1697">
        <f ca="1">Energia!D10*Energia!D14</f>
        <v>0</v>
      </c>
      <c r="F34" s="1697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697">
        <f>(SUMIFS(Financeiros[Valor],Financeiros[iddet1],19,Financeiros[iddet2],60,Financeiros[id_Detalhe_Grupo_TARIFA],C34))</f>
        <v>0</v>
      </c>
    </row>
    <row r="35" spans="1:7">
      <c r="A35" s="1869"/>
      <c r="B35" s="1868"/>
      <c r="C35" s="1578">
        <v>999</v>
      </c>
      <c r="D35" s="1578" t="s">
        <v>987</v>
      </c>
      <c r="E35" s="1697"/>
      <c r="F35" s="1697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697">
        <f>(SUMIFS(Financeiros[Valor],Financeiros[iddet1],19,Financeiros[iddet2],60,Financeiros[id_Detalhe_Grupo_TARIFA],C35))</f>
        <v>0</v>
      </c>
    </row>
    <row r="36" spans="1:7">
      <c r="A36" s="1869"/>
      <c r="B36" s="1868"/>
      <c r="C36" s="1578"/>
      <c r="D36" s="1680" t="s">
        <v>2204</v>
      </c>
      <c r="E36" s="1697">
        <f ca="1">SUM(E32:E35)</f>
        <v>637460.39136771404</v>
      </c>
      <c r="F36" s="1697">
        <f t="shared" ref="F36:G36" ca="1" si="4">SUM(F32:F35)</f>
        <v>-11659.138765059779</v>
      </c>
      <c r="G36" s="1697">
        <f t="shared" si="4"/>
        <v>0</v>
      </c>
    </row>
    <row r="37" spans="1:7">
      <c r="A37" s="1869"/>
      <c r="B37" s="1870" t="s">
        <v>2204</v>
      </c>
      <c r="C37" s="1870"/>
      <c r="D37" s="1870"/>
      <c r="E37" s="1697">
        <f ca="1">SUM(E18,E26,E28,E36,E31)</f>
        <v>24099655.661250066</v>
      </c>
      <c r="F37" s="1697">
        <f ca="1">SUM(F18,F26,F28,F36,F31)</f>
        <v>-2738845.3999919235</v>
      </c>
      <c r="G37" s="1697">
        <f>SUM(G18,G26,G28,G36,G31)</f>
        <v>0</v>
      </c>
    </row>
    <row r="38" spans="1:7">
      <c r="A38" s="1868" t="s">
        <v>969</v>
      </c>
      <c r="B38" s="1868" t="s">
        <v>2074</v>
      </c>
      <c r="C38" s="1578">
        <v>19</v>
      </c>
      <c r="D38" s="1578" t="s">
        <v>48</v>
      </c>
      <c r="E38" s="1697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697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697">
        <f>(SUMIFS(Financeiros[Valor],Financeiros[iddet1],19,Financeiros[iddet2],60,Financeiros[id_Detalhe_Grupo_TARIFA],C38))</f>
        <v>0</v>
      </c>
    </row>
    <row r="39" spans="1:7">
      <c r="A39" s="1869"/>
      <c r="B39" s="1868"/>
      <c r="C39" s="1578">
        <v>17</v>
      </c>
      <c r="D39" s="1578" t="s">
        <v>46</v>
      </c>
      <c r="E39" s="1697">
        <f>Encargos!C9</f>
        <v>0</v>
      </c>
      <c r="F39" s="1697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697">
        <f>(SUMIFS(Financeiros[Valor],Financeiros[iddet1],19,Financeiros[iddet2],60,Financeiros[id_Detalhe_Grupo_TARIFA],C39))</f>
        <v>0</v>
      </c>
    </row>
    <row r="40" spans="1:7">
      <c r="A40" s="1869"/>
      <c r="B40" s="1868"/>
      <c r="C40" s="1578">
        <v>16</v>
      </c>
      <c r="D40" s="1578" t="s">
        <v>112</v>
      </c>
      <c r="E40" s="1697">
        <f>Encargos!C8</f>
        <v>0</v>
      </c>
      <c r="F40" s="1697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697">
        <f>(SUMIFS(Financeiros[Valor],Financeiros[iddet1],19,Financeiros[iddet2],60,Financeiros[id_Detalhe_Grupo_TARIFA],C40))</f>
        <v>0</v>
      </c>
    </row>
    <row r="41" spans="1:7">
      <c r="A41" s="1869"/>
      <c r="B41" s="1868"/>
      <c r="C41" s="1578">
        <v>25</v>
      </c>
      <c r="D41" s="1578" t="s">
        <v>2219</v>
      </c>
      <c r="E41" s="1697">
        <v>0</v>
      </c>
      <c r="F41" s="1697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697">
        <f>(SUMIFS(Financeiros[Valor],Financeiros[iddet1],19,Financeiros[iddet2],60,Financeiros[id_Detalhe_Grupo_TARIFA],C41))</f>
        <v>0</v>
      </c>
    </row>
    <row r="42" spans="1:7">
      <c r="A42" s="1869"/>
      <c r="B42" s="1868"/>
      <c r="C42" s="1578">
        <v>28</v>
      </c>
      <c r="D42" s="1578" t="s">
        <v>2053</v>
      </c>
      <c r="E42" s="1697">
        <f>Encargos!I21</f>
        <v>0</v>
      </c>
      <c r="F42" s="1697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697">
        <f>(SUMIFS(Financeiros[Valor],Financeiros[iddet1],19,Financeiros[iddet2],60,Financeiros[id_Detalhe_Grupo_TARIFA],C42))</f>
        <v>0</v>
      </c>
    </row>
    <row r="43" spans="1:7">
      <c r="A43" s="1869"/>
      <c r="B43" s="1868"/>
      <c r="C43" s="1578"/>
      <c r="D43" s="1680" t="s">
        <v>2204</v>
      </c>
      <c r="E43" s="1697">
        <f ca="1">SUM(E38:E42)</f>
        <v>0</v>
      </c>
      <c r="F43" s="1697">
        <f ca="1">SUM(F38:F42)</f>
        <v>0</v>
      </c>
      <c r="G43" s="1697">
        <f>SUM(G38:G42)</f>
        <v>0</v>
      </c>
    </row>
    <row r="44" spans="1:7">
      <c r="A44" s="1869"/>
      <c r="B44" s="1868" t="s">
        <v>2075</v>
      </c>
      <c r="C44" s="1578">
        <v>11</v>
      </c>
      <c r="D44" s="1578" t="s">
        <v>2220</v>
      </c>
      <c r="E44" s="1697">
        <f ca="1">Energia!D6*Energia!D14</f>
        <v>5539840.7838546168</v>
      </c>
      <c r="F44" s="1697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-101323.58544931212</v>
      </c>
      <c r="G44" s="1697">
        <f>(SUMIFS(Financeiros[Valor],Financeiros[iddet1],19,Financeiros[iddet2],60,Financeiros[id_Detalhe_Grupo_TARIFA],C44))</f>
        <v>0</v>
      </c>
    </row>
    <row r="45" spans="1:7">
      <c r="A45" s="1869"/>
      <c r="B45" s="1868"/>
      <c r="C45" s="1578"/>
      <c r="D45" s="1680" t="s">
        <v>2204</v>
      </c>
      <c r="E45" s="1697">
        <f ca="1">SUM(E44)</f>
        <v>5539840.7838546168</v>
      </c>
      <c r="F45" s="1697">
        <f ca="1">SUM(F44)</f>
        <v>-101323.58544931212</v>
      </c>
      <c r="G45" s="1697">
        <f>SUM(G44)</f>
        <v>0</v>
      </c>
    </row>
    <row r="46" spans="1:7">
      <c r="A46" s="1869"/>
      <c r="B46" s="1868" t="s">
        <v>2205</v>
      </c>
      <c r="C46" s="1578">
        <v>21</v>
      </c>
      <c r="D46" s="1578" t="s">
        <v>973</v>
      </c>
      <c r="E46" s="1697">
        <f>Resultado!D29</f>
        <v>0</v>
      </c>
      <c r="F46" s="1697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697">
        <f>(SUMIFS(Financeiros[Valor],Financeiros[iddet1],19,Financeiros[iddet2],60,Financeiros[id_Detalhe_Grupo_TARIFA],C46))</f>
        <v>0</v>
      </c>
    </row>
    <row r="47" spans="1:7">
      <c r="A47" s="1869"/>
      <c r="B47" s="1868"/>
      <c r="C47" s="1578">
        <v>23</v>
      </c>
      <c r="D47" s="1578" t="s">
        <v>2221</v>
      </c>
      <c r="E47" s="1697">
        <f>Resultado!D30</f>
        <v>0</v>
      </c>
      <c r="F47" s="1697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697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69"/>
      <c r="B48" s="1868"/>
      <c r="C48" s="1578">
        <v>22</v>
      </c>
      <c r="D48" s="1578" t="s">
        <v>2222</v>
      </c>
      <c r="E48" s="1697">
        <f>0</f>
        <v>0</v>
      </c>
      <c r="F48" s="1697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697">
        <f>(SUMIFS(Financeiros[Valor],Financeiros[iddet1],19,Financeiros[iddet2],60,Financeiros[id_Detalhe_Grupo_TARIFA],C48))</f>
        <v>0</v>
      </c>
    </row>
    <row r="49" spans="1:7">
      <c r="A49" s="1869"/>
      <c r="B49" s="1868"/>
      <c r="C49" s="1578"/>
      <c r="D49" s="1680" t="s">
        <v>2204</v>
      </c>
      <c r="E49" s="1697">
        <f>SUM(E46:E48)</f>
        <v>0</v>
      </c>
      <c r="F49" s="1697">
        <f>SUM(F46:F48)</f>
        <v>0</v>
      </c>
      <c r="G49" s="1697">
        <f>SUM(G46:G48)</f>
        <v>0</v>
      </c>
    </row>
    <row r="50" spans="1:7">
      <c r="A50" s="1869"/>
      <c r="B50" s="1868" t="s">
        <v>2213</v>
      </c>
      <c r="C50" s="1578">
        <v>179</v>
      </c>
      <c r="D50" s="1578" t="s">
        <v>2214</v>
      </c>
      <c r="E50" s="1697">
        <v>0</v>
      </c>
      <c r="F50" s="1697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697">
        <f>SUMIFS(Financeiros[Valor],Financeiros[iddet1],19,Financeiros[iddet2],60,Financeiros[id_Detalhe_Grupo_TARIFA],C50)</f>
        <v>0</v>
      </c>
    </row>
    <row r="51" spans="1:7">
      <c r="A51" s="1869"/>
      <c r="B51" s="1868"/>
      <c r="C51" s="1578"/>
      <c r="D51" s="1578" t="s">
        <v>2204</v>
      </c>
      <c r="E51" s="1697">
        <f>SUM(E50)</f>
        <v>0</v>
      </c>
      <c r="F51" s="1697">
        <f ca="1">SUM(F50)</f>
        <v>0</v>
      </c>
      <c r="G51" s="1697">
        <f>SUM(G50)</f>
        <v>0</v>
      </c>
    </row>
    <row r="52" spans="1:7">
      <c r="A52" s="1869"/>
      <c r="B52" s="1868" t="s">
        <v>2215</v>
      </c>
      <c r="C52" s="1578">
        <v>24</v>
      </c>
      <c r="D52" s="1578" t="s">
        <v>2223</v>
      </c>
      <c r="E52" s="1697">
        <f ca="1">Energia!D13*Energia!D14</f>
        <v>0</v>
      </c>
      <c r="F52" s="1697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697">
        <f>(SUMIFS(Financeiros[Valor],Financeiros[iddet1],19,Financeiros[iddet2],60,Financeiros[id_Detalhe_Grupo_TARIFA],C52))</f>
        <v>0</v>
      </c>
    </row>
    <row r="53" spans="1:7">
      <c r="A53" s="1869"/>
      <c r="B53" s="1868"/>
      <c r="C53" s="1578"/>
      <c r="D53" s="1680" t="s">
        <v>2204</v>
      </c>
      <c r="E53" s="1697">
        <f ca="1">SUM(E52)</f>
        <v>0</v>
      </c>
      <c r="F53" s="1697">
        <f t="shared" ref="F53:G53" ca="1" si="5">SUM(F52)</f>
        <v>0</v>
      </c>
      <c r="G53" s="1697">
        <f t="shared" si="5"/>
        <v>0</v>
      </c>
    </row>
    <row r="54" spans="1:7">
      <c r="A54" s="1869"/>
      <c r="B54" s="1870" t="s">
        <v>2204</v>
      </c>
      <c r="C54" s="1870"/>
      <c r="D54" s="1870"/>
      <c r="E54" s="1697">
        <f ca="1">SUM(E43,E45,E49,E53,E51)</f>
        <v>5539840.7838546168</v>
      </c>
      <c r="F54" s="1697">
        <f t="shared" ref="F54:G54" ca="1" si="6">SUM(F43,F45,F49,F53,F51)</f>
        <v>-101323.58544931212</v>
      </c>
      <c r="G54" s="1697">
        <f t="shared" si="6"/>
        <v>0</v>
      </c>
    </row>
    <row r="55" spans="1:7">
      <c r="A55" s="1868" t="s">
        <v>758</v>
      </c>
      <c r="B55" s="1868"/>
      <c r="C55" s="1868"/>
      <c r="D55" s="1868"/>
      <c r="E55" s="1697">
        <f ca="1">E37+E54</f>
        <v>29639496.445104681</v>
      </c>
      <c r="F55" s="1697">
        <f t="shared" ref="F55:G55" ca="1" si="7">F37+F54</f>
        <v>-2840168.9854412358</v>
      </c>
      <c r="G55" s="1697">
        <f t="shared" si="7"/>
        <v>0</v>
      </c>
    </row>
    <row r="56" spans="1:7">
      <c r="E56" s="1698"/>
      <c r="F56" s="1698"/>
      <c r="G56" s="1698"/>
    </row>
    <row r="57" spans="1:7">
      <c r="D57" s="1680" t="s">
        <v>2279</v>
      </c>
      <c r="E57" s="1697">
        <f ca="1">Resultado!C5</f>
        <v>29639496.445104681</v>
      </c>
      <c r="F57" s="1697">
        <f ca="1">(SUMIFS(Financeiros[Valor],Financeiros[iddet1],20)+SUMIFS(Financeiros[Valor],Financeiros[iddet1],22)+SUMIFS(Financeiros[Valor],Financeiros[iddet1],19,Financeiros[iddet2],64))</f>
        <v>-2840168.9854412354</v>
      </c>
      <c r="G57" s="1697">
        <f>(SUMIFS(Financeiros[Valor],Financeiros[iddet1],19,Financeiros[iddet2],60))</f>
        <v>0</v>
      </c>
    </row>
    <row r="58" spans="1:7">
      <c r="D58" s="1680" t="s">
        <v>2224</v>
      </c>
      <c r="E58" s="1697" t="str">
        <f ca="1">IF(ABS(E55-E57)&gt;1,"verificar sparta","ok")</f>
        <v>ok</v>
      </c>
      <c r="F58" s="1697" t="str">
        <f t="shared" ref="F58" ca="1" si="8">IF(ABS(F55-F57)&gt;1,"verificar sparta","ok")</f>
        <v>ok</v>
      </c>
      <c r="G58" s="1697" t="str">
        <f>IF(ABS(G55-G57)&gt;1,"verificar sparta","ok")</f>
        <v>ok</v>
      </c>
    </row>
    <row r="59" spans="1:7">
      <c r="E59" s="1698"/>
      <c r="F59" s="1698"/>
      <c r="G59" s="1698"/>
    </row>
    <row r="60" spans="1:7">
      <c r="D60" s="1680" t="s">
        <v>2225</v>
      </c>
      <c r="E60" s="1697">
        <f ca="1">SUMIFS(TabelaBadNet[valor],TabelaBadNet[id_Natureza_dado],2,TabelaBadNet[id_Detalhe_Natureza],1,TabelaBadNet[id_Unidade],3,TabelaBadNet[idDet1],51)</f>
        <v>29639496.445104681</v>
      </c>
      <c r="F60" s="1697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-2840168.9854412354</v>
      </c>
      <c r="G60" s="1697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80" t="s">
        <v>2224</v>
      </c>
      <c r="E61" s="1697" t="str">
        <f ca="1">IF(ABS(E60-E55)&gt;1,"verificar badnet","ok")</f>
        <v>ok</v>
      </c>
      <c r="F61" s="1697" t="str">
        <f t="shared" ref="F61:G61" ca="1" si="9">IF(ABS(F60-F55)&gt;1,"verificar badnet","ok")</f>
        <v>ok</v>
      </c>
      <c r="G61" s="1697" t="str">
        <f t="shared" si="9"/>
        <v>ok</v>
      </c>
    </row>
  </sheetData>
  <mergeCells count="15">
    <mergeCell ref="A10:A37"/>
    <mergeCell ref="B10:B18"/>
    <mergeCell ref="B19:B26"/>
    <mergeCell ref="B27:B28"/>
    <mergeCell ref="B29:B31"/>
    <mergeCell ref="B32:B36"/>
    <mergeCell ref="B37:D37"/>
    <mergeCell ref="A55:D55"/>
    <mergeCell ref="A38:A54"/>
    <mergeCell ref="B38:B43"/>
    <mergeCell ref="B44:B45"/>
    <mergeCell ref="B46:B49"/>
    <mergeCell ref="B50:B51"/>
    <mergeCell ref="B52:B53"/>
    <mergeCell ref="B54:D54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C218" zoomScaleNormal="100" workbookViewId="0">
      <selection activeCell="L229" sqref="L229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1385</v>
      </c>
      <c r="B1" t="s">
        <v>1403</v>
      </c>
      <c r="C1" t="s">
        <v>22</v>
      </c>
      <c r="D1" t="s">
        <v>1404</v>
      </c>
      <c r="E1" t="s">
        <v>1405</v>
      </c>
      <c r="F1" t="s">
        <v>1406</v>
      </c>
      <c r="G1" t="s">
        <v>1407</v>
      </c>
      <c r="H1" t="s">
        <v>1408</v>
      </c>
      <c r="I1" t="s">
        <v>1284</v>
      </c>
      <c r="J1" t="s">
        <v>1285</v>
      </c>
      <c r="K1" t="s">
        <v>1286</v>
      </c>
      <c r="L1" t="s">
        <v>1409</v>
      </c>
      <c r="M1" t="s">
        <v>1410</v>
      </c>
      <c r="N1" t="s">
        <v>1411</v>
      </c>
      <c r="O1" t="s">
        <v>1412</v>
      </c>
      <c r="P1" t="s">
        <v>1413</v>
      </c>
      <c r="Q1" t="s">
        <v>1414</v>
      </c>
    </row>
    <row r="2" spans="1:17" s="13" customFormat="1" ht="15.75">
      <c r="A2" t="s">
        <v>694</v>
      </c>
      <c r="B2" t="s">
        <v>1415</v>
      </c>
      <c r="C2" t="s">
        <v>1399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694</v>
      </c>
      <c r="B3" t="s">
        <v>1415</v>
      </c>
      <c r="C3" t="s">
        <v>770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694</v>
      </c>
      <c r="B4" t="s">
        <v>1415</v>
      </c>
      <c r="C4" t="s">
        <v>1399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694</v>
      </c>
      <c r="B5" t="s">
        <v>1415</v>
      </c>
      <c r="C5" t="s">
        <v>770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694</v>
      </c>
      <c r="B6" t="s">
        <v>1415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7.1900000000000006E-2</v>
      </c>
      <c r="Q6" s="232">
        <f ca="1">Resultado!C7</f>
        <v>7.1900000000000006E-2</v>
      </c>
    </row>
    <row r="7" spans="1:17" s="13" customFormat="1" ht="15.75">
      <c r="A7" t="s">
        <v>694</v>
      </c>
      <c r="B7" t="s">
        <v>1415</v>
      </c>
      <c r="C7" t="s">
        <v>1259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-0.1027</v>
      </c>
      <c r="Q7" s="232">
        <f ca="1">Resultado!C8</f>
        <v>-0.1027</v>
      </c>
    </row>
    <row r="8" spans="1:17" s="13" customFormat="1" ht="15.75">
      <c r="A8" t="s">
        <v>694</v>
      </c>
      <c r="B8" t="s">
        <v>1415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-3.0800000000000001E-2</v>
      </c>
      <c r="Q8" s="232">
        <f ca="1">Resultado!C9</f>
        <v>-3.0800000000000001E-2</v>
      </c>
    </row>
    <row r="9" spans="1:17" s="13" customFormat="1" ht="15.75">
      <c r="A9" t="s">
        <v>694</v>
      </c>
      <c r="B9" t="s">
        <v>1415</v>
      </c>
      <c r="C9" t="s">
        <v>1416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0.24450729708640606</v>
      </c>
      <c r="Q9" s="232">
        <f ca="1">IF(ISERROR(LnkTXTICMS),0,LnkTXTICMS)</f>
        <v>0.24450729708640606</v>
      </c>
    </row>
    <row r="10" spans="1:17" s="13" customFormat="1" ht="15.75">
      <c r="A10" t="s">
        <v>694</v>
      </c>
      <c r="B10" t="s">
        <v>1415</v>
      </c>
      <c r="C10" t="s">
        <v>1417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0</v>
      </c>
      <c r="Q10" s="232">
        <f ca="1">IF(ISERROR(LNKTXTPercPISCOFINS),0,LNKTXTPercPISCOFINS)</f>
        <v>0</v>
      </c>
    </row>
    <row r="11" spans="1:17" ht="15.75">
      <c r="A11" t="s">
        <v>694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694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694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60318.578824742086</v>
      </c>
      <c r="Q13" s="232">
        <f ca="1">Resultado!D17</f>
        <v>60318.578824742086</v>
      </c>
    </row>
    <row r="14" spans="1:17" ht="15.75">
      <c r="A14" t="s">
        <v>694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3547574.1107399999</v>
      </c>
      <c r="Q14" s="232">
        <f ca="1">Encargos!I19</f>
        <v>3547574.1107399999</v>
      </c>
    </row>
    <row r="15" spans="1:17" ht="15.75">
      <c r="A15" t="s">
        <v>694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694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694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628596.9297000001</v>
      </c>
      <c r="Q17" s="232">
        <f ca="1">Resultado!D21</f>
        <v>628596.9297000001</v>
      </c>
    </row>
    <row r="18" spans="1:17" ht="15.75">
      <c r="A18" t="s">
        <v>694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694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694</v>
      </c>
      <c r="B20" t="s">
        <v>715</v>
      </c>
      <c r="C20" t="s">
        <v>1418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694</v>
      </c>
      <c r="B21" t="s">
        <v>715</v>
      </c>
      <c r="C21" t="s">
        <v>1419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4882651.6637400007</v>
      </c>
      <c r="Q21" s="232">
        <f>Q22/(1-Q20)</f>
        <v>4882651.6637400007</v>
      </c>
    </row>
    <row r="22" spans="1:17" ht="15.75">
      <c r="A22" t="s">
        <v>694</v>
      </c>
      <c r="B22" t="s">
        <v>715</v>
      </c>
      <c r="C22" t="s">
        <v>1420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4882651.6637400007</v>
      </c>
      <c r="Q22" s="232">
        <f>CUSD!C3</f>
        <v>4882651.6637400007</v>
      </c>
    </row>
    <row r="23" spans="1:17" ht="15.75">
      <c r="A23" t="s">
        <v>694</v>
      </c>
      <c r="B23" t="s">
        <v>715</v>
      </c>
      <c r="C23" s="9" t="s">
        <v>1151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694</v>
      </c>
      <c r="B24" t="s">
        <v>715</v>
      </c>
      <c r="C24" t="s">
        <v>1179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694</v>
      </c>
      <c r="B25" t="s">
        <v>715</v>
      </c>
      <c r="C25" t="s">
        <v>1421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694</v>
      </c>
      <c r="B26" t="s">
        <v>715</v>
      </c>
      <c r="C26" t="s">
        <v>1422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694</v>
      </c>
      <c r="B27" t="s">
        <v>715</v>
      </c>
      <c r="C27" t="s">
        <v>1423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694</v>
      </c>
      <c r="B28" t="s">
        <v>715</v>
      </c>
      <c r="C28" t="s">
        <v>1424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694</v>
      </c>
      <c r="B29" t="s">
        <v>715</v>
      </c>
      <c r="C29" t="s">
        <v>1425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693</v>
      </c>
      <c r="B30" t="s">
        <v>108</v>
      </c>
      <c r="C30" t="s">
        <v>743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694</v>
      </c>
      <c r="B31" t="s">
        <v>108</v>
      </c>
      <c r="C31" t="s">
        <v>743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49976.929000000004</v>
      </c>
      <c r="Q31" s="232">
        <f ca="1">Energia!D5</f>
        <v>49976.929000000004</v>
      </c>
    </row>
    <row r="32" spans="1:17" ht="15.75">
      <c r="A32" t="s">
        <v>694</v>
      </c>
      <c r="B32" t="s">
        <v>108</v>
      </c>
      <c r="C32" t="s">
        <v>1426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5157.3189999999995</v>
      </c>
      <c r="Q32" s="232">
        <f ca="1">Energia!N17</f>
        <v>5157.3189999999995</v>
      </c>
    </row>
    <row r="33" spans="1:17" ht="15.75">
      <c r="A33" t="s">
        <v>694</v>
      </c>
      <c r="B33" t="s">
        <v>108</v>
      </c>
      <c r="C33" t="s">
        <v>1427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694</v>
      </c>
      <c r="B34" t="s">
        <v>108</v>
      </c>
      <c r="C34" t="s">
        <v>1428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694</v>
      </c>
      <c r="B35" t="s">
        <v>108</v>
      </c>
      <c r="C35" t="s">
        <v>1429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694</v>
      </c>
      <c r="B36" t="s">
        <v>108</v>
      </c>
      <c r="C36" t="s">
        <v>1430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0.10319399577352981</v>
      </c>
      <c r="Q36" s="232">
        <f ca="1">Energia!N14</f>
        <v>0.10319399577352981</v>
      </c>
    </row>
    <row r="37" spans="1:17" s="12" customFormat="1" ht="15.75">
      <c r="A37" t="s">
        <v>694</v>
      </c>
      <c r="B37" t="s">
        <v>108</v>
      </c>
      <c r="C37" t="s">
        <v>1431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694</v>
      </c>
      <c r="B38" t="s">
        <v>108</v>
      </c>
      <c r="C38" t="s">
        <v>1432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694</v>
      </c>
      <c r="B39" t="s">
        <v>108</v>
      </c>
      <c r="C39" t="s">
        <v>1433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6177301.1752223317</v>
      </c>
      <c r="Q39" s="232">
        <f ca="1">Energia!D15</f>
        <v>6177301.1752223317</v>
      </c>
    </row>
    <row r="40" spans="1:17" ht="15.75">
      <c r="A40" t="s">
        <v>693</v>
      </c>
      <c r="B40" t="s">
        <v>108</v>
      </c>
      <c r="C40" t="s">
        <v>1434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123.60305642674305</v>
      </c>
      <c r="Q40" s="232">
        <f ca="1">Energia!D14</f>
        <v>123.60305642674305</v>
      </c>
    </row>
    <row r="41" spans="1:17" ht="15.75">
      <c r="A41" t="s">
        <v>693</v>
      </c>
      <c r="B41" t="s">
        <v>108</v>
      </c>
      <c r="C41" t="s">
        <v>1435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762.52146735008182</v>
      </c>
      <c r="Q41" s="232">
        <f>Energia!C20</f>
        <v>762.52146735008182</v>
      </c>
    </row>
    <row r="42" spans="1:17" ht="15.75">
      <c r="A42" t="s">
        <v>694</v>
      </c>
      <c r="B42" t="s">
        <v>108</v>
      </c>
      <c r="C42" t="s">
        <v>1436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49214.40753264993</v>
      </c>
      <c r="Q42" s="232">
        <f ca="1">Energia!C23</f>
        <v>49214.40753264993</v>
      </c>
    </row>
    <row r="43" spans="1:17" ht="15.75">
      <c r="A43" t="s">
        <v>694</v>
      </c>
      <c r="B43" t="s">
        <v>108</v>
      </c>
      <c r="C43" s="9" t="s">
        <v>1437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6177301.1752223326</v>
      </c>
      <c r="Q43" s="232">
        <f ca="1">Energia!F23</f>
        <v>6177301.1752223326</v>
      </c>
    </row>
    <row r="44" spans="1:17" s="12" customFormat="1" ht="15.75">
      <c r="A44" t="s">
        <v>694</v>
      </c>
      <c r="B44" t="s">
        <v>108</v>
      </c>
      <c r="C44" t="s">
        <v>1438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694</v>
      </c>
      <c r="B45" t="s">
        <v>108</v>
      </c>
      <c r="C45" t="s">
        <v>1439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694</v>
      </c>
      <c r="B46" t="s">
        <v>108</v>
      </c>
      <c r="C46" t="s">
        <v>1440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694</v>
      </c>
      <c r="B47" t="s">
        <v>108</v>
      </c>
      <c r="C47" s="9" t="s">
        <v>1441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0.55957000000000001</v>
      </c>
      <c r="Q47" s="232">
        <f>Energia!F28</f>
        <v>0.55957000000000001</v>
      </c>
    </row>
    <row r="48" spans="1:17" s="12" customFormat="1" ht="15.75">
      <c r="A48" t="s">
        <v>694</v>
      </c>
      <c r="B48" t="s">
        <v>108</v>
      </c>
      <c r="C48" s="9" t="s">
        <v>1441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694</v>
      </c>
      <c r="B49" t="s">
        <v>108</v>
      </c>
      <c r="C49" s="9" t="s">
        <v>1441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694</v>
      </c>
      <c r="B50" t="s">
        <v>108</v>
      </c>
      <c r="C50" s="9" t="s">
        <v>1441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694</v>
      </c>
      <c r="B51" t="s">
        <v>108</v>
      </c>
      <c r="C51" s="9" t="s">
        <v>1441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694</v>
      </c>
      <c r="B52" t="s">
        <v>893</v>
      </c>
      <c r="C52" t="s">
        <v>885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44819.61</v>
      </c>
      <c r="Q52" s="232">
        <f ca="1">FornecimentoE</f>
        <v>44819.61</v>
      </c>
    </row>
    <row r="53" spans="1:17" s="12" customFormat="1" ht="15.75">
      <c r="A53" t="s">
        <v>694</v>
      </c>
      <c r="B53" t="s">
        <v>893</v>
      </c>
      <c r="C53" t="s">
        <v>906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694</v>
      </c>
      <c r="B54" t="s">
        <v>893</v>
      </c>
      <c r="C54" t="s">
        <v>1442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694</v>
      </c>
      <c r="B55" t="s">
        <v>893</v>
      </c>
      <c r="C55" t="s">
        <v>1443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694</v>
      </c>
      <c r="B56" t="s">
        <v>893</v>
      </c>
      <c r="C56" t="s">
        <v>910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694</v>
      </c>
      <c r="B57" t="s">
        <v>893</v>
      </c>
      <c r="C57" t="s">
        <v>1444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694</v>
      </c>
      <c r="B58" t="s">
        <v>893</v>
      </c>
      <c r="C58" t="s">
        <v>1445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694</v>
      </c>
      <c r="B59" t="s">
        <v>893</v>
      </c>
      <c r="C59" t="s">
        <v>1446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694</v>
      </c>
      <c r="B60" t="s">
        <v>893</v>
      </c>
      <c r="C60" t="s">
        <v>1447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694</v>
      </c>
      <c r="B61" t="s">
        <v>893</v>
      </c>
      <c r="C61" t="s">
        <v>1448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694</v>
      </c>
      <c r="B62" t="s">
        <v>893</v>
      </c>
      <c r="C62" t="s">
        <v>1449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29902.844000000001</v>
      </c>
      <c r="Q62" s="232">
        <f ca="1">Calc_Mercado!C13</f>
        <v>29902.844000000001</v>
      </c>
    </row>
    <row r="63" spans="1:17" s="12" customFormat="1" ht="15.75">
      <c r="A63" t="s">
        <v>694</v>
      </c>
      <c r="B63" t="s">
        <v>893</v>
      </c>
      <c r="C63" t="s">
        <v>1450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694</v>
      </c>
      <c r="B64" t="s">
        <v>893</v>
      </c>
      <c r="C64" t="s">
        <v>1451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14916.766000000001</v>
      </c>
      <c r="Q64" s="232">
        <f ca="1">FornecimentoE_BT</f>
        <v>14916.766000000001</v>
      </c>
    </row>
    <row r="65" spans="1:17" ht="15.75">
      <c r="A65" t="s">
        <v>694</v>
      </c>
      <c r="B65" t="s">
        <v>893</v>
      </c>
      <c r="C65" t="s">
        <v>885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27651255.470160004</v>
      </c>
      <c r="Q65" s="232">
        <f ca="1">Calc_Mercado!D8</f>
        <v>27651255.470160004</v>
      </c>
    </row>
    <row r="66" spans="1:17" ht="15.75">
      <c r="A66" t="s">
        <v>694</v>
      </c>
      <c r="B66" t="s">
        <v>893</v>
      </c>
      <c r="C66" t="s">
        <v>906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694</v>
      </c>
      <c r="B67" t="s">
        <v>893</v>
      </c>
      <c r="C67" t="s">
        <v>1442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694</v>
      </c>
      <c r="B68" t="s">
        <v>893</v>
      </c>
      <c r="C68" t="s">
        <v>1443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694</v>
      </c>
      <c r="B69" t="s">
        <v>893</v>
      </c>
      <c r="C69" t="s">
        <v>910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694</v>
      </c>
      <c r="B70" t="s">
        <v>893</v>
      </c>
      <c r="C70" t="s">
        <v>1444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694</v>
      </c>
      <c r="B71" t="s">
        <v>893</v>
      </c>
      <c r="C71" t="s">
        <v>1445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694</v>
      </c>
      <c r="B72" t="s">
        <v>893</v>
      </c>
      <c r="C72" t="s">
        <v>1446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694</v>
      </c>
      <c r="B73" t="s">
        <v>893</v>
      </c>
      <c r="C73" t="s">
        <v>1447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694</v>
      </c>
      <c r="B74" t="s">
        <v>893</v>
      </c>
      <c r="C74" t="s">
        <v>1448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694</v>
      </c>
      <c r="B75" t="s">
        <v>893</v>
      </c>
      <c r="C75" t="s">
        <v>1449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15783870.772030007</v>
      </c>
      <c r="Q75" s="232">
        <f ca="1">Calc_Mercado!D13</f>
        <v>15783870.772030007</v>
      </c>
    </row>
    <row r="76" spans="1:17" ht="15.75">
      <c r="A76" t="s">
        <v>694</v>
      </c>
      <c r="B76" t="s">
        <v>893</v>
      </c>
      <c r="C76" t="s">
        <v>1450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694</v>
      </c>
      <c r="B77" t="s">
        <v>893</v>
      </c>
      <c r="C77" t="s">
        <v>1451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11867384.698129997</v>
      </c>
      <c r="Q77" s="232">
        <f ca="1">Calc_Mercado!D15</f>
        <v>11867384.698129997</v>
      </c>
    </row>
    <row r="78" spans="1:17" ht="15.75">
      <c r="A78" t="s">
        <v>694</v>
      </c>
      <c r="B78" t="s">
        <v>893</v>
      </c>
      <c r="C78" t="s">
        <v>1452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693</v>
      </c>
      <c r="B79" t="s">
        <v>893</v>
      </c>
      <c r="C79" s="9" t="s">
        <v>1453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694</v>
      </c>
      <c r="B80" t="s">
        <v>893</v>
      </c>
      <c r="C80" t="s">
        <v>1454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44819.61</v>
      </c>
      <c r="Q80" s="232">
        <f ca="1">LnkTXTEV</f>
        <v>44819.61</v>
      </c>
    </row>
    <row r="81" spans="1:17" ht="15.75">
      <c r="A81" t="s">
        <v>694</v>
      </c>
      <c r="B81" t="s">
        <v>104</v>
      </c>
      <c r="C81" t="s">
        <v>1455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14343053.986877607</v>
      </c>
      <c r="Q81" s="232">
        <f>Resultado!D39</f>
        <v>14343053.986877607</v>
      </c>
    </row>
    <row r="82" spans="1:17" ht="15.75">
      <c r="A82" t="s">
        <v>694</v>
      </c>
      <c r="B82" t="s">
        <v>72</v>
      </c>
      <c r="C82" t="s">
        <v>1456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1457</v>
      </c>
      <c r="B83" t="s">
        <v>1458</v>
      </c>
      <c r="C83" t="s">
        <v>1459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1457</v>
      </c>
      <c r="B84" t="s">
        <v>1458</v>
      </c>
      <c r="C84" t="s">
        <v>1460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1457</v>
      </c>
      <c r="B85" t="s">
        <v>1458</v>
      </c>
      <c r="C85" t="s">
        <v>1461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694</v>
      </c>
      <c r="B86" t="s">
        <v>893</v>
      </c>
      <c r="C86" t="s">
        <v>1462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694</v>
      </c>
      <c r="B87" s="16" t="s">
        <v>108</v>
      </c>
      <c r="C87" s="16" t="s">
        <v>743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49976.929000000004</v>
      </c>
      <c r="Q87" s="232">
        <f ca="1">Energia!D5</f>
        <v>49976.929000000004</v>
      </c>
    </row>
    <row r="88" spans="1:17" ht="15.75">
      <c r="A88" s="16" t="s">
        <v>694</v>
      </c>
      <c r="B88" s="16" t="s">
        <v>108</v>
      </c>
      <c r="C88" s="16" t="s">
        <v>743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6177301.1752223317</v>
      </c>
      <c r="Q88" s="232">
        <f ca="1">Energia!D15</f>
        <v>6177301.1752223317</v>
      </c>
    </row>
    <row r="89" spans="1:17" ht="15.75">
      <c r="A89" s="16" t="s">
        <v>694</v>
      </c>
      <c r="B89" s="16" t="s">
        <v>1463</v>
      </c>
      <c r="C89" s="16" t="s">
        <v>1464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15296442.458227076</v>
      </c>
      <c r="Q89" s="232">
        <f ca="1">Resultado!D34</f>
        <v>15296442.458227076</v>
      </c>
    </row>
    <row r="90" spans="1:17" ht="15.75">
      <c r="A90" s="16" t="s">
        <v>694</v>
      </c>
      <c r="B90" s="16" t="s">
        <v>104</v>
      </c>
      <c r="C90" s="16" t="s">
        <v>758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14343053.986877607</v>
      </c>
      <c r="Q90" s="232">
        <f>Resultado!D39</f>
        <v>14343053.986877607</v>
      </c>
    </row>
    <row r="91" spans="1:17" ht="15.75">
      <c r="A91" s="16" t="s">
        <v>694</v>
      </c>
      <c r="B91" s="16" t="s">
        <v>72</v>
      </c>
      <c r="C91" s="16" t="s">
        <v>758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4236489.6192647424</v>
      </c>
      <c r="Q91" s="232">
        <f ca="1">Resultado!D14</f>
        <v>4236489.6192647424</v>
      </c>
    </row>
    <row r="92" spans="1:17" ht="15.75">
      <c r="A92" s="16" t="s">
        <v>694</v>
      </c>
      <c r="B92" s="16" t="s">
        <v>715</v>
      </c>
      <c r="C92" s="16" t="s">
        <v>758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4882651.6637400007</v>
      </c>
      <c r="Q92" s="232">
        <f>Resultado!D24</f>
        <v>4882651.6637400007</v>
      </c>
    </row>
    <row r="93" spans="1:17" ht="15.75">
      <c r="A93" s="16" t="s">
        <v>694</v>
      </c>
      <c r="B93" s="16" t="s">
        <v>1463</v>
      </c>
      <c r="C93" s="16" t="s">
        <v>1465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29639496.445104681</v>
      </c>
      <c r="Q93" s="232">
        <f ca="1">Resultado!C5</f>
        <v>29639496.445104681</v>
      </c>
    </row>
    <row r="94" spans="1:17" ht="15.75">
      <c r="A94" s="16" t="s">
        <v>694</v>
      </c>
      <c r="B94" s="16" t="s">
        <v>108</v>
      </c>
      <c r="C94" s="16" t="s">
        <v>1466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694</v>
      </c>
      <c r="B95" s="16" t="s">
        <v>108</v>
      </c>
      <c r="C95" s="16" t="s">
        <v>1467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693</v>
      </c>
      <c r="B96" s="16" t="s">
        <v>108</v>
      </c>
      <c r="C96" s="16" t="s">
        <v>758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5845886.3369916435</v>
      </c>
      <c r="Q96" s="232">
        <f ca="1">Resultado!C33</f>
        <v>5845886.3369916435</v>
      </c>
    </row>
    <row r="97" spans="1:17" ht="15.75">
      <c r="A97" s="16" t="s">
        <v>693</v>
      </c>
      <c r="B97" s="16" t="s">
        <v>1463</v>
      </c>
      <c r="C97" s="16" t="s">
        <v>1468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27651255.470160004</v>
      </c>
      <c r="Q97" s="232">
        <f ca="1">Mercado_RA0_Reais</f>
        <v>27651255.470160004</v>
      </c>
    </row>
    <row r="98" spans="1:17" ht="15.75">
      <c r="A98" s="16" t="s">
        <v>694</v>
      </c>
      <c r="B98" s="16" t="s">
        <v>1288</v>
      </c>
      <c r="C98" s="16" t="s">
        <v>758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-2840168.9854412354</v>
      </c>
      <c r="Q98" s="232">
        <f ca="1">Financeiros!D7</f>
        <v>-2840168.9854412354</v>
      </c>
    </row>
    <row r="99" spans="1:17" ht="15.75">
      <c r="A99" s="16" t="s">
        <v>694</v>
      </c>
      <c r="B99" s="16" t="s">
        <v>1288</v>
      </c>
      <c r="C99" s="16" t="s">
        <v>758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-0.10271392517805274</v>
      </c>
      <c r="Q99" s="232">
        <f ca="1">Financeiros!E7</f>
        <v>-0.10271392517805274</v>
      </c>
    </row>
    <row r="100" spans="1:17" ht="15.75">
      <c r="A100" s="16" t="s">
        <v>694</v>
      </c>
      <c r="B100" s="16" t="s">
        <v>1469</v>
      </c>
      <c r="C100" s="16" t="s">
        <v>1470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26799327.459663447</v>
      </c>
      <c r="Q100" s="232">
        <f ca="1">Resultado!C5+Financeiros!D7/(1+IF(Q86&gt;0,Q86,0))</f>
        <v>26799327.459663447</v>
      </c>
    </row>
    <row r="101" spans="1:17" ht="15.75">
      <c r="A101" t="s">
        <v>694</v>
      </c>
      <c r="B101" t="s">
        <v>72</v>
      </c>
      <c r="C101" t="s">
        <v>1456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694</v>
      </c>
      <c r="B102" t="s">
        <v>108</v>
      </c>
      <c r="C102" t="s">
        <v>743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49976.929000000004</v>
      </c>
      <c r="Q102" s="232">
        <f ca="1">Energia!D5</f>
        <v>49976.929000000004</v>
      </c>
    </row>
    <row r="103" spans="1:17" ht="15.75">
      <c r="A103" s="16" t="s">
        <v>694</v>
      </c>
      <c r="B103" s="16" t="s">
        <v>108</v>
      </c>
      <c r="C103" s="16" t="s">
        <v>743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6177301.1752223317</v>
      </c>
      <c r="Q103" s="232">
        <f ca="1">Energia!D15</f>
        <v>6177301.1752223317</v>
      </c>
    </row>
    <row r="104" spans="1:17" ht="15.75">
      <c r="A104" t="s">
        <v>694</v>
      </c>
      <c r="B104" t="s">
        <v>108</v>
      </c>
      <c r="C104" t="s">
        <v>1472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5157.3189999999995</v>
      </c>
      <c r="Q104" s="232">
        <f ca="1">SUM(LnkTXTPerdas)</f>
        <v>5157.3189999999995</v>
      </c>
    </row>
    <row r="105" spans="1:17" ht="15.75">
      <c r="A105" s="16" t="s">
        <v>694</v>
      </c>
      <c r="B105" s="16" t="s">
        <v>1469</v>
      </c>
      <c r="C105" s="16" t="s">
        <v>1473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129730</v>
      </c>
      <c r="Q105" s="232">
        <f ca="1">SUM(INDIRECT("dados_MercadoBase[D]"))</f>
        <v>129730</v>
      </c>
    </row>
    <row r="106" spans="1:17" ht="15.75">
      <c r="A106" t="s">
        <v>694</v>
      </c>
      <c r="B106" t="s">
        <v>1469</v>
      </c>
      <c r="C106" t="s">
        <v>1474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44819.609999999935</v>
      </c>
      <c r="Q106" s="232">
        <f ca="1">SUM(INDIRECT("dados_MercadoBase[TUSD_E]"))</f>
        <v>44819.609999999935</v>
      </c>
    </row>
    <row r="107" spans="1:17" ht="15.75">
      <c r="A107" s="16" t="s">
        <v>693</v>
      </c>
      <c r="B107" s="16" t="s">
        <v>715</v>
      </c>
      <c r="C107" s="16" t="s">
        <v>1475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693</v>
      </c>
      <c r="B108" t="s">
        <v>715</v>
      </c>
      <c r="C108" t="s">
        <v>1179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693</v>
      </c>
      <c r="B109" s="16" t="s">
        <v>715</v>
      </c>
      <c r="C109" s="16" t="s">
        <v>1421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693</v>
      </c>
      <c r="B110" t="s">
        <v>715</v>
      </c>
      <c r="C110" t="s">
        <v>1422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693</v>
      </c>
      <c r="B111" s="16" t="s">
        <v>715</v>
      </c>
      <c r="C111" s="16" t="s">
        <v>1423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694</v>
      </c>
      <c r="B112" t="s">
        <v>715</v>
      </c>
      <c r="C112" t="s">
        <v>1476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694</v>
      </c>
      <c r="B113" s="16" t="s">
        <v>1469</v>
      </c>
      <c r="C113" s="16" t="s">
        <v>1477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44819.609999999935</v>
      </c>
      <c r="Q113" s="232">
        <f ca="1">SUM(INDIRECT("dados_MercadoBase[TE_E]"))</f>
        <v>44819.609999999935</v>
      </c>
    </row>
    <row r="114" spans="1:19" ht="15.75">
      <c r="A114" t="s">
        <v>694</v>
      </c>
      <c r="B114" t="s">
        <v>1478</v>
      </c>
      <c r="C114" t="s">
        <v>1479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694</v>
      </c>
      <c r="B115" s="16" t="s">
        <v>1478</v>
      </c>
      <c r="C115" s="16" t="s">
        <v>1480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694</v>
      </c>
      <c r="B116" t="s">
        <v>1478</v>
      </c>
      <c r="C116" t="s">
        <v>1481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11387722.43</v>
      </c>
      <c r="Q116" s="232">
        <f>CAPA!D32</f>
        <v>11387722.43</v>
      </c>
      <c r="S116" s="9"/>
    </row>
    <row r="117" spans="1:19" ht="15.75">
      <c r="A117" s="16" t="s">
        <v>694</v>
      </c>
      <c r="B117" s="16" t="s">
        <v>1478</v>
      </c>
      <c r="C117" s="16" t="s">
        <v>1482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694</v>
      </c>
      <c r="B118" t="s">
        <v>1478</v>
      </c>
      <c r="C118" t="s">
        <v>1483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2955331.56</v>
      </c>
      <c r="Q118" s="232">
        <f>CAPA!D33</f>
        <v>2955331.56</v>
      </c>
    </row>
    <row r="119" spans="1:19" ht="15.75">
      <c r="A119" s="16" t="s">
        <v>694</v>
      </c>
      <c r="B119" s="16" t="s">
        <v>1478</v>
      </c>
      <c r="C119" s="16" t="s">
        <v>1484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14343053.986877607</v>
      </c>
      <c r="Q119" s="232">
        <f>Resultado!D39</f>
        <v>14343053.986877607</v>
      </c>
    </row>
    <row r="120" spans="1:19" ht="15.75">
      <c r="A120" t="s">
        <v>694</v>
      </c>
      <c r="B120" t="s">
        <v>1478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1469</v>
      </c>
      <c r="B121" t="s">
        <v>1485</v>
      </c>
      <c r="C121" t="s">
        <v>1486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1469</v>
      </c>
      <c r="B122" t="s">
        <v>1485</v>
      </c>
      <c r="C122" t="s">
        <v>1487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1469</v>
      </c>
      <c r="B123" t="s">
        <v>1485</v>
      </c>
      <c r="C123" t="s">
        <v>1488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1469</v>
      </c>
      <c r="B124" t="s">
        <v>1485</v>
      </c>
      <c r="C124" t="s">
        <v>1489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100.24014443967947</v>
      </c>
      <c r="Q124" s="232">
        <f>'Tabelas e Gráficos'!BP314</f>
        <v>100.24014443967947</v>
      </c>
    </row>
    <row r="125" spans="1:19" ht="15.75">
      <c r="A125" t="s">
        <v>1469</v>
      </c>
      <c r="B125" t="s">
        <v>1485</v>
      </c>
      <c r="C125" t="s">
        <v>1490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38.041664139115404</v>
      </c>
      <c r="Q125" s="232">
        <f>'Tabelas e Gráficos'!BP315</f>
        <v>38.041664139115404</v>
      </c>
    </row>
    <row r="126" spans="1:19" ht="15.75">
      <c r="A126" t="s">
        <v>1469</v>
      </c>
      <c r="B126" t="s">
        <v>1485</v>
      </c>
      <c r="C126" t="s">
        <v>1491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0</v>
      </c>
      <c r="Q126" s="232">
        <f>'Tabelas e Gráficos'!BP316</f>
        <v>0</v>
      </c>
    </row>
    <row r="127" spans="1:19" ht="15.75">
      <c r="A127" t="s">
        <v>1469</v>
      </c>
      <c r="B127" t="s">
        <v>1485</v>
      </c>
      <c r="C127" t="s">
        <v>1492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1469</v>
      </c>
      <c r="B128" t="s">
        <v>1485</v>
      </c>
      <c r="C128" t="s">
        <v>1493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1469</v>
      </c>
      <c r="B129" t="s">
        <v>1485</v>
      </c>
      <c r="C129" t="s">
        <v>1494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1469</v>
      </c>
      <c r="B130" t="s">
        <v>1485</v>
      </c>
      <c r="C130" t="s">
        <v>1495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891.95975445176975</v>
      </c>
      <c r="Q130" s="232">
        <f>'Tabelas e Gráficos'!BQ314</f>
        <v>891.95975445176975</v>
      </c>
    </row>
    <row r="131" spans="1:17" ht="15.75">
      <c r="A131" t="s">
        <v>1469</v>
      </c>
      <c r="B131" t="s">
        <v>1485</v>
      </c>
      <c r="C131" t="s">
        <v>1496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13195.305663701862</v>
      </c>
      <c r="Q131" s="232">
        <f>'Tabelas e Gráficos'!BQ315</f>
        <v>13195.305663701862</v>
      </c>
    </row>
    <row r="132" spans="1:17" ht="15.75">
      <c r="A132" t="s">
        <v>1469</v>
      </c>
      <c r="B132" t="s">
        <v>1485</v>
      </c>
      <c r="C132" t="s">
        <v>1497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0</v>
      </c>
      <c r="Q132" s="232">
        <f>'Tabelas e Gráficos'!BQ316</f>
        <v>0</v>
      </c>
    </row>
    <row r="133" spans="1:17" ht="15.75">
      <c r="A133" t="s">
        <v>1469</v>
      </c>
      <c r="B133" t="s">
        <v>1485</v>
      </c>
      <c r="C133" t="s">
        <v>1498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1469</v>
      </c>
      <c r="B134" t="s">
        <v>1485</v>
      </c>
      <c r="C134" t="s">
        <v>1499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1469</v>
      </c>
      <c r="B135" t="s">
        <v>1485</v>
      </c>
      <c r="C135" t="s">
        <v>1500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1469</v>
      </c>
      <c r="B136" t="s">
        <v>1485</v>
      </c>
      <c r="C136" t="s">
        <v>1501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992.19989889144927</v>
      </c>
      <c r="Q136" s="232">
        <f>'Tabelas e Gráficos'!BR314</f>
        <v>992.19989889144927</v>
      </c>
    </row>
    <row r="137" spans="1:17" ht="15.75">
      <c r="A137" t="s">
        <v>1469</v>
      </c>
      <c r="B137" t="s">
        <v>1485</v>
      </c>
      <c r="C137" t="s">
        <v>1502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13233.347327840977</v>
      </c>
      <c r="Q137" s="232">
        <f>'Tabelas e Gráficos'!BR315</f>
        <v>13233.347327840977</v>
      </c>
    </row>
    <row r="138" spans="1:17" ht="15.75">
      <c r="A138" t="s">
        <v>1469</v>
      </c>
      <c r="B138" t="s">
        <v>1485</v>
      </c>
      <c r="C138" t="s">
        <v>1503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0</v>
      </c>
      <c r="Q138" s="232">
        <f>'Tabelas e Gráficos'!BR316</f>
        <v>0</v>
      </c>
    </row>
    <row r="139" spans="1:17" ht="15.75">
      <c r="A139" s="845" t="s">
        <v>694</v>
      </c>
      <c r="B139" s="845" t="s">
        <v>72</v>
      </c>
      <c r="C139" s="845" t="s">
        <v>1504</v>
      </c>
      <c r="D139" s="845">
        <v>2</v>
      </c>
      <c r="E139" s="845">
        <v>1</v>
      </c>
      <c r="F139" s="845">
        <v>51</v>
      </c>
      <c r="G139" s="845">
        <v>73</v>
      </c>
      <c r="H139" s="845">
        <v>999</v>
      </c>
      <c r="I139" s="845">
        <v>3</v>
      </c>
      <c r="J139" s="845">
        <v>15</v>
      </c>
      <c r="K139" s="845">
        <v>1</v>
      </c>
      <c r="L139" s="845">
        <v>99</v>
      </c>
      <c r="M139" s="845">
        <v>9</v>
      </c>
      <c r="N139" s="845">
        <v>3</v>
      </c>
      <c r="O139" s="845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5" t="s">
        <v>694</v>
      </c>
      <c r="B140" s="845" t="s">
        <v>108</v>
      </c>
      <c r="C140" s="845" t="str">
        <f>Energia!$B$21</f>
        <v>Angra</v>
      </c>
      <c r="D140" s="845">
        <v>1</v>
      </c>
      <c r="E140" s="845">
        <v>1</v>
      </c>
      <c r="F140" s="845">
        <v>8</v>
      </c>
      <c r="G140" s="845">
        <v>999999</v>
      </c>
      <c r="H140" s="845">
        <v>999</v>
      </c>
      <c r="I140" s="845">
        <v>2</v>
      </c>
      <c r="J140" s="845">
        <v>999</v>
      </c>
      <c r="K140" s="845">
        <v>9</v>
      </c>
      <c r="L140" s="845">
        <v>99</v>
      </c>
      <c r="M140" s="845">
        <v>9</v>
      </c>
      <c r="N140" s="845">
        <v>2</v>
      </c>
      <c r="O140" s="845">
        <v>99999</v>
      </c>
      <c r="P140" s="907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5" t="s">
        <v>694</v>
      </c>
      <c r="B141" s="845" t="s">
        <v>108</v>
      </c>
      <c r="C141" s="845" t="str">
        <f>Energia!B21</f>
        <v>Angra</v>
      </c>
      <c r="D141" s="845">
        <v>1</v>
      </c>
      <c r="E141" s="845">
        <v>1</v>
      </c>
      <c r="F141" s="845">
        <v>8</v>
      </c>
      <c r="G141" s="845">
        <v>999999</v>
      </c>
      <c r="H141" s="845">
        <v>999</v>
      </c>
      <c r="I141" s="845">
        <v>2</v>
      </c>
      <c r="J141" s="845">
        <v>999</v>
      </c>
      <c r="K141" s="845">
        <v>9</v>
      </c>
      <c r="L141" s="845">
        <v>99</v>
      </c>
      <c r="M141" s="845">
        <v>9</v>
      </c>
      <c r="N141" s="845">
        <v>3</v>
      </c>
      <c r="O141" s="845">
        <v>99999</v>
      </c>
      <c r="P141" s="907">
        <f t="shared" ca="1" si="5"/>
        <v>0</v>
      </c>
      <c r="Q141" s="232">
        <f ca="1">Energia!$F$21</f>
        <v>0</v>
      </c>
    </row>
    <row r="142" spans="1:17" ht="15.75">
      <c r="A142" s="845" t="s">
        <v>694</v>
      </c>
      <c r="B142" s="845" t="s">
        <v>108</v>
      </c>
      <c r="C142" s="845" t="str">
        <f>Energia!$B$22</f>
        <v>CCGF</v>
      </c>
      <c r="D142" s="845">
        <v>1</v>
      </c>
      <c r="E142" s="845">
        <v>1</v>
      </c>
      <c r="F142" s="845">
        <v>17</v>
      </c>
      <c r="G142" s="845">
        <v>999999</v>
      </c>
      <c r="H142" s="845">
        <v>999</v>
      </c>
      <c r="I142" s="845">
        <v>2</v>
      </c>
      <c r="J142" s="845">
        <v>999</v>
      </c>
      <c r="K142" s="845">
        <v>9</v>
      </c>
      <c r="L142" s="845">
        <v>99</v>
      </c>
      <c r="M142" s="845">
        <v>9</v>
      </c>
      <c r="N142" s="845">
        <v>2</v>
      </c>
      <c r="O142" s="845">
        <v>0</v>
      </c>
      <c r="P142" s="907">
        <f t="shared" ca="1" si="5"/>
        <v>0</v>
      </c>
      <c r="Q142" s="232">
        <f ca="1">Energia!$C$22</f>
        <v>0</v>
      </c>
    </row>
    <row r="143" spans="1:17" ht="15.75">
      <c r="A143" s="845" t="s">
        <v>694</v>
      </c>
      <c r="B143" s="845" t="s">
        <v>108</v>
      </c>
      <c r="C143" s="845" t="str">
        <f>Energia!$B$22</f>
        <v>CCGF</v>
      </c>
      <c r="D143" s="845">
        <v>1</v>
      </c>
      <c r="E143" s="845">
        <v>1</v>
      </c>
      <c r="F143" s="845">
        <v>17</v>
      </c>
      <c r="G143" s="845">
        <v>999999</v>
      </c>
      <c r="H143" s="845">
        <v>999</v>
      </c>
      <c r="I143" s="845">
        <v>2</v>
      </c>
      <c r="J143" s="845">
        <v>999</v>
      </c>
      <c r="K143" s="845">
        <v>9</v>
      </c>
      <c r="L143" s="845">
        <v>99</v>
      </c>
      <c r="M143" s="845">
        <v>9</v>
      </c>
      <c r="N143" s="845">
        <v>3</v>
      </c>
      <c r="O143" s="845">
        <v>0</v>
      </c>
      <c r="P143" s="907">
        <f t="shared" ca="1" si="5"/>
        <v>0</v>
      </c>
      <c r="Q143" s="232">
        <f ca="1">Energia!$F$22</f>
        <v>0</v>
      </c>
    </row>
    <row r="144" spans="1:17" ht="15.75">
      <c r="A144" s="845" t="s">
        <v>694</v>
      </c>
      <c r="B144" s="845" t="s">
        <v>72</v>
      </c>
      <c r="C144" s="845" t="s">
        <v>2051</v>
      </c>
      <c r="D144" s="845">
        <v>1</v>
      </c>
      <c r="E144" s="845">
        <v>1</v>
      </c>
      <c r="F144" s="845">
        <v>999</v>
      </c>
      <c r="G144" s="845">
        <v>999999</v>
      </c>
      <c r="H144" s="845">
        <v>999</v>
      </c>
      <c r="I144" s="845">
        <v>3</v>
      </c>
      <c r="J144" s="845">
        <v>35</v>
      </c>
      <c r="K144" s="845">
        <v>9</v>
      </c>
      <c r="L144" s="845">
        <v>99</v>
      </c>
      <c r="M144" s="845">
        <v>9</v>
      </c>
      <c r="N144" s="845">
        <v>3</v>
      </c>
      <c r="O144" s="845">
        <v>99999</v>
      </c>
      <c r="P144" s="907">
        <f>IF(ISNUMBER(Q144),Q144,0)</f>
        <v>0</v>
      </c>
      <c r="Q144" s="232">
        <f>Encargos!L17</f>
        <v>0</v>
      </c>
    </row>
    <row r="145" spans="1:17" ht="15.75">
      <c r="A145" s="845" t="s">
        <v>694</v>
      </c>
      <c r="B145" s="845" t="s">
        <v>72</v>
      </c>
      <c r="C145" s="845" t="s">
        <v>2053</v>
      </c>
      <c r="D145" s="845">
        <v>2</v>
      </c>
      <c r="E145" s="845">
        <v>1</v>
      </c>
      <c r="F145" s="845">
        <v>51</v>
      </c>
      <c r="G145" s="845">
        <v>999999</v>
      </c>
      <c r="H145" s="845">
        <v>999</v>
      </c>
      <c r="I145" s="845">
        <v>3</v>
      </c>
      <c r="J145" s="845">
        <v>28</v>
      </c>
      <c r="K145" s="845">
        <v>2</v>
      </c>
      <c r="L145" s="845">
        <v>99</v>
      </c>
      <c r="M145" s="845">
        <v>9</v>
      </c>
      <c r="N145" s="845">
        <v>3</v>
      </c>
      <c r="O145" s="845">
        <v>99999</v>
      </c>
      <c r="P145" s="907">
        <f>IF(ISNUMBER(Q145),Q145,0)</f>
        <v>0</v>
      </c>
      <c r="Q145" s="232">
        <f>Encargos!I21</f>
        <v>0</v>
      </c>
    </row>
    <row r="146" spans="1:17" ht="15.75">
      <c r="A146" s="845" t="s">
        <v>1457</v>
      </c>
      <c r="B146" s="845" t="s">
        <v>108</v>
      </c>
      <c r="C146" s="845" t="s">
        <v>2160</v>
      </c>
      <c r="D146" s="845">
        <v>3</v>
      </c>
      <c r="E146" s="845">
        <v>1</v>
      </c>
      <c r="F146" s="845">
        <v>37</v>
      </c>
      <c r="G146" s="845">
        <v>999999</v>
      </c>
      <c r="H146" s="845">
        <v>999</v>
      </c>
      <c r="I146" s="845">
        <v>99</v>
      </c>
      <c r="J146" s="845">
        <v>999</v>
      </c>
      <c r="K146" s="845">
        <v>9</v>
      </c>
      <c r="L146" s="845">
        <v>99</v>
      </c>
      <c r="M146" s="845">
        <v>9</v>
      </c>
      <c r="N146" s="845">
        <v>8</v>
      </c>
      <c r="O146" s="845">
        <v>99999</v>
      </c>
      <c r="P146" s="907">
        <f ca="1">IF(ISNUMBER(Q146),Q146,0)</f>
        <v>9.8538943205536633E-2</v>
      </c>
      <c r="Q146" s="232">
        <f ca="1">Energia!L35</f>
        <v>9.8538943205536633E-2</v>
      </c>
    </row>
    <row r="147" spans="1:17" ht="15.75">
      <c r="A147" s="845" t="s">
        <v>694</v>
      </c>
      <c r="B147" s="845" t="s">
        <v>1288</v>
      </c>
      <c r="C147" s="845" t="str">
        <f>Financeiros!C9</f>
        <v>Repasse de PIS COFINS CUSD</v>
      </c>
      <c r="D147" s="845">
        <v>2</v>
      </c>
      <c r="E147" s="845">
        <v>2</v>
      </c>
      <c r="F147" s="845">
        <f>Financeiros!H9</f>
        <v>22</v>
      </c>
      <c r="G147" s="845">
        <f>Financeiros!I9</f>
        <v>60</v>
      </c>
      <c r="H147" s="845">
        <f>Financeiros!J9</f>
        <v>999</v>
      </c>
      <c r="I147" s="845">
        <f>Financeiros!K9</f>
        <v>1</v>
      </c>
      <c r="J147" s="845">
        <f>Financeiros!L9</f>
        <v>7</v>
      </c>
      <c r="K147" s="845">
        <f>Financeiros!M9</f>
        <v>9</v>
      </c>
      <c r="L147" s="845">
        <v>99</v>
      </c>
      <c r="M147" s="845">
        <v>9</v>
      </c>
      <c r="N147" s="845">
        <v>3</v>
      </c>
      <c r="O147" s="845">
        <v>99999</v>
      </c>
      <c r="P147" s="907">
        <f t="shared" si="5"/>
        <v>156272.37582038148</v>
      </c>
      <c r="Q147" s="232">
        <f>Financeiros!D9</f>
        <v>156272.37582038148</v>
      </c>
    </row>
    <row r="148" spans="1:17" ht="15.75">
      <c r="A148" s="845" t="s">
        <v>694</v>
      </c>
      <c r="B148" s="845" t="s">
        <v>1288</v>
      </c>
      <c r="C148" s="845" t="str">
        <f>Financeiros!C10</f>
        <v>Repasse de PIS COFINS TE - Energia - Energia de Revenda</v>
      </c>
      <c r="D148" s="845">
        <v>2</v>
      </c>
      <c r="E148" s="845">
        <v>2</v>
      </c>
      <c r="F148" s="845">
        <f>Financeiros!H10</f>
        <v>22</v>
      </c>
      <c r="G148" s="845">
        <f>Financeiros!I10</f>
        <v>60</v>
      </c>
      <c r="H148" s="845">
        <f>Financeiros!J10</f>
        <v>999</v>
      </c>
      <c r="I148" s="845">
        <f>Financeiros!K10</f>
        <v>2</v>
      </c>
      <c r="J148" s="845">
        <f>Financeiros!L10</f>
        <v>11</v>
      </c>
      <c r="K148" s="845">
        <f>Financeiros!M10</f>
        <v>9</v>
      </c>
      <c r="L148" s="845">
        <v>99</v>
      </c>
      <c r="M148" s="845">
        <v>9</v>
      </c>
      <c r="N148" s="845">
        <v>3</v>
      </c>
      <c r="O148" s="845">
        <v>99999</v>
      </c>
      <c r="P148" s="907">
        <f t="shared" ref="P148:P211" ca="1" si="6">IF(ISNUMBER(Q148),Q148,0)</f>
        <v>169126.08284750505</v>
      </c>
      <c r="Q148" s="232">
        <f ca="1">Financeiros!D10</f>
        <v>169126.08284750505</v>
      </c>
    </row>
    <row r="149" spans="1:17" ht="15.75">
      <c r="A149" s="845" t="s">
        <v>694</v>
      </c>
      <c r="B149" s="845" t="s">
        <v>1288</v>
      </c>
      <c r="C149" s="845" t="str">
        <f>Financeiros!C11</f>
        <v>Repasse de PIS COFINS TE - Energia - Perda Não Técnica</v>
      </c>
      <c r="D149" s="845">
        <v>2</v>
      </c>
      <c r="E149" s="845">
        <v>2</v>
      </c>
      <c r="F149" s="845">
        <f>Financeiros!H11</f>
        <v>22</v>
      </c>
      <c r="G149" s="845">
        <f>Financeiros!I11</f>
        <v>60</v>
      </c>
      <c r="H149" s="845">
        <f>Financeiros!J11</f>
        <v>999</v>
      </c>
      <c r="I149" s="845">
        <f>Financeiros!K11</f>
        <v>2</v>
      </c>
      <c r="J149" s="845">
        <f>Financeiros!L11</f>
        <v>9</v>
      </c>
      <c r="K149" s="845">
        <f>Financeiros!M11</f>
        <v>9</v>
      </c>
      <c r="L149" s="845">
        <v>99</v>
      </c>
      <c r="M149" s="845">
        <v>9</v>
      </c>
      <c r="N149" s="845">
        <v>3</v>
      </c>
      <c r="O149" s="845">
        <v>99999</v>
      </c>
      <c r="P149" s="907">
        <f t="shared" ca="1" si="6"/>
        <v>0</v>
      </c>
      <c r="Q149" s="232">
        <f ca="1">Financeiros!D11</f>
        <v>0</v>
      </c>
    </row>
    <row r="150" spans="1:17" ht="15.75">
      <c r="A150" s="845" t="s">
        <v>694</v>
      </c>
      <c r="B150" s="845" t="s">
        <v>1288</v>
      </c>
      <c r="C150" s="845" t="str">
        <f>Financeiros!C12</f>
        <v>Repasse de PIS COFINS TE - Energia - Perda Técnica</v>
      </c>
      <c r="D150" s="845">
        <v>2</v>
      </c>
      <c r="E150" s="845">
        <v>2</v>
      </c>
      <c r="F150" s="845">
        <f>Financeiros!H12</f>
        <v>22</v>
      </c>
      <c r="G150" s="845">
        <f>Financeiros!I12</f>
        <v>60</v>
      </c>
      <c r="H150" s="845">
        <f>Financeiros!J12</f>
        <v>999</v>
      </c>
      <c r="I150" s="845">
        <f>Financeiros!K12</f>
        <v>2</v>
      </c>
      <c r="J150" s="845">
        <f>Financeiros!L12</f>
        <v>8</v>
      </c>
      <c r="K150" s="845">
        <f>Financeiros!M12</f>
        <v>9</v>
      </c>
      <c r="L150" s="845">
        <v>99</v>
      </c>
      <c r="M150" s="845">
        <v>9</v>
      </c>
      <c r="N150" s="845">
        <v>3</v>
      </c>
      <c r="O150" s="845">
        <v>99999</v>
      </c>
      <c r="P150" s="907">
        <f t="shared" ca="1" si="6"/>
        <v>19461.060916527651</v>
      </c>
      <c r="Q150" s="232">
        <f ca="1">Financeiros!D12</f>
        <v>19461.060916527651</v>
      </c>
    </row>
    <row r="151" spans="1:17" ht="15.75">
      <c r="A151" s="845" t="s">
        <v>694</v>
      </c>
      <c r="B151" s="845" t="s">
        <v>1288</v>
      </c>
      <c r="C151" s="845" t="str">
        <f>Financeiros!C13</f>
        <v>Repasse de PIS COFINS TE - Energia - Perda Rede Básica sobre Dist.</v>
      </c>
      <c r="D151" s="845">
        <v>2</v>
      </c>
      <c r="E151" s="845">
        <v>2</v>
      </c>
      <c r="F151" s="845">
        <f>Financeiros!H13</f>
        <v>22</v>
      </c>
      <c r="G151" s="845">
        <f>Financeiros!I13</f>
        <v>60</v>
      </c>
      <c r="H151" s="845">
        <f>Financeiros!J13</f>
        <v>999</v>
      </c>
      <c r="I151" s="845">
        <f>Financeiros!K13</f>
        <v>2</v>
      </c>
      <c r="J151" s="845">
        <f>Financeiros!L13</f>
        <v>10</v>
      </c>
      <c r="K151" s="845">
        <f>Financeiros!M13</f>
        <v>9</v>
      </c>
      <c r="L151" s="845">
        <v>99</v>
      </c>
      <c r="M151" s="845">
        <v>9</v>
      </c>
      <c r="N151" s="845">
        <v>3</v>
      </c>
      <c r="O151" s="845">
        <v>99999</v>
      </c>
      <c r="P151" s="907">
        <f t="shared" ca="1" si="6"/>
        <v>0</v>
      </c>
      <c r="Q151" s="232">
        <f ca="1">Financeiros!D13</f>
        <v>0</v>
      </c>
    </row>
    <row r="152" spans="1:17" ht="15.75">
      <c r="A152" s="845" t="s">
        <v>694</v>
      </c>
      <c r="B152" s="845" t="s">
        <v>1288</v>
      </c>
      <c r="C152" s="845" t="str">
        <f>Financeiros!C14</f>
        <v>Repasse de PIS COFINS TE - Energia - Perda Rede Básica sobre mercado Cat.</v>
      </c>
      <c r="D152" s="845">
        <v>2</v>
      </c>
      <c r="E152" s="845">
        <v>2</v>
      </c>
      <c r="F152" s="845">
        <f>Financeiros!H14</f>
        <v>22</v>
      </c>
      <c r="G152" s="845">
        <f>Financeiros!I14</f>
        <v>60</v>
      </c>
      <c r="H152" s="845">
        <f>Financeiros!J14</f>
        <v>999</v>
      </c>
      <c r="I152" s="845">
        <f>Financeiros!K14</f>
        <v>2</v>
      </c>
      <c r="J152" s="845">
        <f>Financeiros!L14</f>
        <v>24</v>
      </c>
      <c r="K152" s="845">
        <f>Financeiros!M14</f>
        <v>9</v>
      </c>
      <c r="L152" s="845">
        <v>99</v>
      </c>
      <c r="M152" s="845">
        <v>9</v>
      </c>
      <c r="N152" s="845">
        <v>3</v>
      </c>
      <c r="O152" s="845">
        <v>99999</v>
      </c>
      <c r="P152" s="907">
        <f t="shared" ca="1" si="6"/>
        <v>0</v>
      </c>
      <c r="Q152" s="232">
        <f ca="1">Financeiros!D14</f>
        <v>0</v>
      </c>
    </row>
    <row r="153" spans="1:17" ht="15.75">
      <c r="A153" s="845" t="s">
        <v>694</v>
      </c>
      <c r="B153" s="845" t="s">
        <v>1288</v>
      </c>
      <c r="C153" s="845" t="str">
        <f>Financeiros!C15</f>
        <v>(Neutralidade) TFSEE</v>
      </c>
      <c r="D153" s="845">
        <v>2</v>
      </c>
      <c r="E153" s="845">
        <v>2</v>
      </c>
      <c r="F153" s="845">
        <f>Financeiros!H15</f>
        <v>20</v>
      </c>
      <c r="G153" s="845">
        <f>Financeiros!I15</f>
        <v>60</v>
      </c>
      <c r="H153" s="845">
        <f>Financeiros!J15</f>
        <v>999</v>
      </c>
      <c r="I153" s="845">
        <f>Financeiros!K15</f>
        <v>3</v>
      </c>
      <c r="J153" s="845">
        <f>Financeiros!L15</f>
        <v>14</v>
      </c>
      <c r="K153" s="845">
        <f>Financeiros!M15</f>
        <v>9</v>
      </c>
      <c r="L153" s="845">
        <v>99</v>
      </c>
      <c r="M153" s="845">
        <v>9</v>
      </c>
      <c r="N153" s="845">
        <v>3</v>
      </c>
      <c r="O153" s="845">
        <v>99999</v>
      </c>
      <c r="P153" s="907">
        <f t="shared" ca="1" si="6"/>
        <v>-631.8579431823332</v>
      </c>
      <c r="Q153" s="232">
        <f ca="1">Financeiros!D15</f>
        <v>-631.8579431823332</v>
      </c>
    </row>
    <row r="154" spans="1:17" ht="15.75">
      <c r="A154" s="845" t="s">
        <v>694</v>
      </c>
      <c r="B154" s="845" t="s">
        <v>1288</v>
      </c>
      <c r="C154" s="845" t="str">
        <f>Financeiros!C16</f>
        <v>(Neutralidade) CDE</v>
      </c>
      <c r="D154" s="845">
        <v>2</v>
      </c>
      <c r="E154" s="845">
        <v>2</v>
      </c>
      <c r="F154" s="845">
        <f>Financeiros!H16</f>
        <v>20</v>
      </c>
      <c r="G154" s="845">
        <f>Financeiros!I16</f>
        <v>60</v>
      </c>
      <c r="H154" s="845">
        <f>Financeiros!J16</f>
        <v>999</v>
      </c>
      <c r="I154" s="845">
        <f>Financeiros!K16</f>
        <v>3</v>
      </c>
      <c r="J154" s="845">
        <f>Financeiros!L16</f>
        <v>15</v>
      </c>
      <c r="K154" s="845">
        <f>Financeiros!M16</f>
        <v>9</v>
      </c>
      <c r="L154" s="845">
        <v>99</v>
      </c>
      <c r="M154" s="845">
        <v>9</v>
      </c>
      <c r="N154" s="845">
        <v>3</v>
      </c>
      <c r="O154" s="845">
        <v>99999</v>
      </c>
      <c r="P154" s="907">
        <f t="shared" ca="1" si="6"/>
        <v>-29649.206855117383</v>
      </c>
      <c r="Q154" s="232">
        <f ca="1">Financeiros!D16</f>
        <v>-29649.206855117383</v>
      </c>
    </row>
    <row r="155" spans="1:17" ht="15.75">
      <c r="A155" s="845" t="s">
        <v>694</v>
      </c>
      <c r="B155" s="845" t="s">
        <v>1288</v>
      </c>
      <c r="C155" s="845" t="str">
        <f>Financeiros!C17</f>
        <v>(Neutralidade) CFURH</v>
      </c>
      <c r="D155" s="845">
        <v>2</v>
      </c>
      <c r="E155" s="845">
        <v>2</v>
      </c>
      <c r="F155" s="845">
        <f>Financeiros!H17</f>
        <v>20</v>
      </c>
      <c r="G155" s="845">
        <f>Financeiros!I17</f>
        <v>60</v>
      </c>
      <c r="H155" s="845">
        <f>Financeiros!J17</f>
        <v>999</v>
      </c>
      <c r="I155" s="845">
        <f>Financeiros!K17</f>
        <v>3</v>
      </c>
      <c r="J155" s="845">
        <f>Financeiros!L17</f>
        <v>16</v>
      </c>
      <c r="K155" s="845">
        <f>Financeiros!M17</f>
        <v>9</v>
      </c>
      <c r="L155" s="845">
        <v>99</v>
      </c>
      <c r="M155" s="845">
        <v>9</v>
      </c>
      <c r="N155" s="845">
        <v>3</v>
      </c>
      <c r="O155" s="845">
        <v>99999</v>
      </c>
      <c r="P155" s="907">
        <f t="shared" si="6"/>
        <v>0</v>
      </c>
      <c r="Q155" s="232">
        <f>Financeiros!D17</f>
        <v>0</v>
      </c>
    </row>
    <row r="156" spans="1:17" ht="15.75">
      <c r="A156" s="845" t="s">
        <v>694</v>
      </c>
      <c r="B156" s="845" t="s">
        <v>1288</v>
      </c>
      <c r="C156" s="845" t="str">
        <f>Financeiros!C18</f>
        <v>(Neutralidade) ESS/ERR</v>
      </c>
      <c r="D156" s="845">
        <v>2</v>
      </c>
      <c r="E156" s="845">
        <v>2</v>
      </c>
      <c r="F156" s="845">
        <f>Financeiros!H18</f>
        <v>20</v>
      </c>
      <c r="G156" s="845">
        <f>Financeiros!I18</f>
        <v>60</v>
      </c>
      <c r="H156" s="845">
        <f>Financeiros!J18</f>
        <v>999</v>
      </c>
      <c r="I156" s="845">
        <f>Financeiros!K18</f>
        <v>3</v>
      </c>
      <c r="J156" s="845">
        <f>Financeiros!L18</f>
        <v>17</v>
      </c>
      <c r="K156" s="845">
        <f>Financeiros!M18</f>
        <v>9</v>
      </c>
      <c r="L156" s="845">
        <v>99</v>
      </c>
      <c r="M156" s="845">
        <v>9</v>
      </c>
      <c r="N156" s="845">
        <v>3</v>
      </c>
      <c r="O156" s="845">
        <v>99999</v>
      </c>
      <c r="P156" s="907">
        <f t="shared" ca="1" si="6"/>
        <v>0</v>
      </c>
      <c r="Q156" s="232">
        <f ca="1">Financeiros!D18</f>
        <v>0</v>
      </c>
    </row>
    <row r="157" spans="1:17" ht="15.75">
      <c r="A157" s="845" t="s">
        <v>694</v>
      </c>
      <c r="B157" s="845" t="s">
        <v>1288</v>
      </c>
      <c r="C157" s="845" t="str">
        <f>Financeiros!C19</f>
        <v>(Neutralidade) PROINFA</v>
      </c>
      <c r="D157" s="845">
        <v>2</v>
      </c>
      <c r="E157" s="845">
        <v>2</v>
      </c>
      <c r="F157" s="845">
        <f>Financeiros!H19</f>
        <v>20</v>
      </c>
      <c r="G157" s="845">
        <f>Financeiros!I19</f>
        <v>60</v>
      </c>
      <c r="H157" s="845">
        <f>Financeiros!J19</f>
        <v>999</v>
      </c>
      <c r="I157" s="845">
        <f>Financeiros!K19</f>
        <v>3</v>
      </c>
      <c r="J157" s="845">
        <f>Financeiros!L19</f>
        <v>18</v>
      </c>
      <c r="K157" s="845">
        <f>Financeiros!M19</f>
        <v>9</v>
      </c>
      <c r="L157" s="845">
        <v>99</v>
      </c>
      <c r="M157" s="845">
        <v>9</v>
      </c>
      <c r="N157" s="845">
        <v>3</v>
      </c>
      <c r="O157" s="845">
        <v>99999</v>
      </c>
      <c r="P157" s="907">
        <f t="shared" ca="1" si="6"/>
        <v>-5292.8430167260067</v>
      </c>
      <c r="Q157" s="232">
        <f ca="1">Financeiros!D19</f>
        <v>-5292.8430167260067</v>
      </c>
    </row>
    <row r="158" spans="1:17" ht="15.75">
      <c r="A158" s="845" t="s">
        <v>694</v>
      </c>
      <c r="B158" s="845" t="s">
        <v>1288</v>
      </c>
      <c r="C158" s="845" t="str">
        <f>Financeiros!C20</f>
        <v>(Neutralidade) CDE COVID</v>
      </c>
      <c r="D158" s="845">
        <v>2</v>
      </c>
      <c r="E158" s="845">
        <v>2</v>
      </c>
      <c r="F158" s="845">
        <f>Financeiros!H20</f>
        <v>20</v>
      </c>
      <c r="G158" s="845">
        <f>Financeiros!I20</f>
        <v>60</v>
      </c>
      <c r="H158" s="845">
        <f>Financeiros!J20</f>
        <v>999</v>
      </c>
      <c r="I158" s="845">
        <f>Financeiros!K20</f>
        <v>3</v>
      </c>
      <c r="J158" s="845">
        <f>Financeiros!L20</f>
        <v>12</v>
      </c>
      <c r="K158" s="845">
        <f>Financeiros!M20</f>
        <v>9</v>
      </c>
      <c r="L158" s="845">
        <v>99</v>
      </c>
      <c r="M158" s="845">
        <v>9</v>
      </c>
      <c r="N158" s="845">
        <v>3</v>
      </c>
      <c r="O158" s="845">
        <v>99999</v>
      </c>
      <c r="P158" s="907">
        <f t="shared" ca="1" si="6"/>
        <v>0</v>
      </c>
      <c r="Q158" s="232">
        <f ca="1">Financeiros!D20</f>
        <v>0</v>
      </c>
    </row>
    <row r="159" spans="1:17" ht="15.75">
      <c r="A159" s="845" t="s">
        <v>694</v>
      </c>
      <c r="B159" s="845" t="s">
        <v>1288</v>
      </c>
      <c r="C159" s="845" t="str">
        <f>Financeiros!C21</f>
        <v>(Neutralidade) P&amp;D</v>
      </c>
      <c r="D159" s="845">
        <v>2</v>
      </c>
      <c r="E159" s="845">
        <v>2</v>
      </c>
      <c r="F159" s="845">
        <f>Financeiros!H21</f>
        <v>20</v>
      </c>
      <c r="G159" s="845">
        <f>Financeiros!I21</f>
        <v>60</v>
      </c>
      <c r="H159" s="845">
        <f>Financeiros!J21</f>
        <v>999</v>
      </c>
      <c r="I159" s="845">
        <f>Financeiros!K21</f>
        <v>3</v>
      </c>
      <c r="J159" s="845">
        <f>Financeiros!L21</f>
        <v>19</v>
      </c>
      <c r="K159" s="845">
        <f>Financeiros!M21</f>
        <v>9</v>
      </c>
      <c r="L159" s="845">
        <v>99</v>
      </c>
      <c r="M159" s="845">
        <v>9</v>
      </c>
      <c r="N159" s="845">
        <v>3</v>
      </c>
      <c r="O159" s="845">
        <v>99999</v>
      </c>
      <c r="P159" s="907">
        <f t="shared" ca="1" si="6"/>
        <v>0</v>
      </c>
      <c r="Q159" s="232">
        <f ca="1">Financeiros!D21</f>
        <v>0</v>
      </c>
    </row>
    <row r="160" spans="1:17" ht="15.75">
      <c r="A160" s="845" t="s">
        <v>694</v>
      </c>
      <c r="B160" s="845" t="s">
        <v>1288</v>
      </c>
      <c r="C160" s="845" t="str">
        <f>Financeiros!C22</f>
        <v>(Neutralidade)Financeiro Covid</v>
      </c>
      <c r="D160" s="845">
        <v>2</v>
      </c>
      <c r="E160" s="845">
        <v>2</v>
      </c>
      <c r="F160" s="845">
        <f>Financeiros!H22</f>
        <v>20</v>
      </c>
      <c r="G160" s="845">
        <f>Financeiros!I22</f>
        <v>60</v>
      </c>
      <c r="H160" s="845">
        <f>Financeiros!J22</f>
        <v>999</v>
      </c>
      <c r="I160" s="845">
        <f>Financeiros!K22</f>
        <v>4</v>
      </c>
      <c r="J160" s="845">
        <f>Financeiros!L22</f>
        <v>999</v>
      </c>
      <c r="K160" s="845">
        <f>Financeiros!M22</f>
        <v>9</v>
      </c>
      <c r="L160" s="845">
        <v>99</v>
      </c>
      <c r="M160" s="845">
        <v>9</v>
      </c>
      <c r="N160" s="845">
        <v>3</v>
      </c>
      <c r="O160" s="845">
        <v>99999</v>
      </c>
      <c r="P160" s="907">
        <f t="shared" ca="1" si="6"/>
        <v>0</v>
      </c>
      <c r="Q160" s="232">
        <f ca="1">Financeiros!D22</f>
        <v>0</v>
      </c>
    </row>
    <row r="161" spans="1:17" ht="15.75">
      <c r="A161" s="845" t="s">
        <v>694</v>
      </c>
      <c r="B161" s="845" t="s">
        <v>1288</v>
      </c>
      <c r="C161" s="845" t="str">
        <f>Financeiros!C23</f>
        <v>(Neutralidade)Crédito Pis Cofins</v>
      </c>
      <c r="D161" s="845">
        <v>2</v>
      </c>
      <c r="E161" s="845">
        <v>2</v>
      </c>
      <c r="F161" s="845">
        <f>Financeiros!H23</f>
        <v>20</v>
      </c>
      <c r="G161" s="845">
        <f>Financeiros!I23</f>
        <v>60</v>
      </c>
      <c r="H161" s="845">
        <f>Financeiros!J23</f>
        <v>179</v>
      </c>
      <c r="I161" s="845">
        <f>Financeiros!K23</f>
        <v>99</v>
      </c>
      <c r="J161" s="845">
        <f>Financeiros!L23</f>
        <v>999</v>
      </c>
      <c r="K161" s="845">
        <f>Financeiros!M23</f>
        <v>3</v>
      </c>
      <c r="L161" s="845">
        <v>99</v>
      </c>
      <c r="M161" s="845">
        <v>9</v>
      </c>
      <c r="N161" s="845">
        <v>3</v>
      </c>
      <c r="O161" s="845">
        <v>99999</v>
      </c>
      <c r="P161" s="907">
        <f t="shared" ca="1" si="6"/>
        <v>0</v>
      </c>
      <c r="Q161" s="232">
        <f ca="1">Financeiros!D23</f>
        <v>0</v>
      </c>
    </row>
    <row r="162" spans="1:17" ht="15.75">
      <c r="A162" s="845" t="s">
        <v>694</v>
      </c>
      <c r="B162" s="845" t="s">
        <v>1288</v>
      </c>
      <c r="C162" s="845" t="str">
        <f>Financeiros!C24</f>
        <v>Ajuste CUST RB + PIS Cofins RB</v>
      </c>
      <c r="D162" s="845">
        <v>2</v>
      </c>
      <c r="E162" s="845">
        <v>2</v>
      </c>
      <c r="F162" s="845">
        <f>Financeiros!H24</f>
        <v>22</v>
      </c>
      <c r="G162" s="845">
        <f>Financeiros!I24</f>
        <v>60</v>
      </c>
      <c r="H162" s="845">
        <f>Financeiros!J24</f>
        <v>999</v>
      </c>
      <c r="I162" s="845">
        <f>Financeiros!K24</f>
        <v>1</v>
      </c>
      <c r="J162" s="845">
        <f>Financeiros!L24</f>
        <v>1</v>
      </c>
      <c r="K162" s="845">
        <f>Financeiros!M24</f>
        <v>9</v>
      </c>
      <c r="L162" s="845">
        <v>99</v>
      </c>
      <c r="M162" s="845">
        <v>9</v>
      </c>
      <c r="N162" s="845">
        <v>3</v>
      </c>
      <c r="O162" s="845">
        <v>99999</v>
      </c>
      <c r="P162" s="907">
        <f t="shared" si="6"/>
        <v>0</v>
      </c>
      <c r="Q162" s="232">
        <f>Financeiros!D24</f>
        <v>0</v>
      </c>
    </row>
    <row r="163" spans="1:17" ht="15.75">
      <c r="A163" s="845" t="s">
        <v>694</v>
      </c>
      <c r="B163" s="845" t="s">
        <v>1288</v>
      </c>
      <c r="C163" s="845" t="str">
        <f>Financeiros!C25</f>
        <v>Ajuste CUST RB Fronteira + PIS Cofins RB Fronteira</v>
      </c>
      <c r="D163" s="845">
        <v>2</v>
      </c>
      <c r="E163" s="845">
        <v>2</v>
      </c>
      <c r="F163" s="845">
        <f>Financeiros!H25</f>
        <v>22</v>
      </c>
      <c r="G163" s="845">
        <f>Financeiros!I25</f>
        <v>60</v>
      </c>
      <c r="H163" s="845">
        <f>Financeiros!J25</f>
        <v>999</v>
      </c>
      <c r="I163" s="845">
        <f>Financeiros!K25</f>
        <v>1</v>
      </c>
      <c r="J163" s="845">
        <f>Financeiros!L25</f>
        <v>2</v>
      </c>
      <c r="K163" s="845">
        <f>Financeiros!M25</f>
        <v>9</v>
      </c>
      <c r="L163" s="845">
        <v>99</v>
      </c>
      <c r="M163" s="845">
        <v>9</v>
      </c>
      <c r="N163" s="845">
        <v>3</v>
      </c>
      <c r="O163" s="845">
        <v>99999</v>
      </c>
      <c r="P163" s="907">
        <f t="shared" si="6"/>
        <v>0</v>
      </c>
      <c r="Q163" s="232">
        <f>Financeiros!D25</f>
        <v>0</v>
      </c>
    </row>
    <row r="164" spans="1:17" ht="15.75">
      <c r="A164" s="845" t="s">
        <v>694</v>
      </c>
      <c r="B164" s="845" t="s">
        <v>1288</v>
      </c>
      <c r="C164" s="845" t="str">
        <f>Financeiros!C26</f>
        <v>Manual de Contabilidade do Setor Elétrico</v>
      </c>
      <c r="D164" s="845">
        <v>2</v>
      </c>
      <c r="E164" s="845">
        <v>2</v>
      </c>
      <c r="F164" s="845">
        <f>Financeiros!H26</f>
        <v>22</v>
      </c>
      <c r="G164" s="845">
        <f>Financeiros!I26</f>
        <v>60</v>
      </c>
      <c r="H164" s="845">
        <f>Financeiros!J26</f>
        <v>167</v>
      </c>
      <c r="I164" s="845">
        <f>Financeiros!K26</f>
        <v>4</v>
      </c>
      <c r="J164" s="845">
        <f>Financeiros!L26</f>
        <v>999</v>
      </c>
      <c r="K164" s="845">
        <f>Financeiros!M26</f>
        <v>9</v>
      </c>
      <c r="L164" s="845">
        <v>99</v>
      </c>
      <c r="M164" s="845">
        <v>9</v>
      </c>
      <c r="N164" s="845">
        <v>3</v>
      </c>
      <c r="O164" s="845">
        <v>99999</v>
      </c>
      <c r="P164" s="907">
        <f t="shared" si="6"/>
        <v>0</v>
      </c>
      <c r="Q164" s="232">
        <f>Financeiros!D26</f>
        <v>0</v>
      </c>
    </row>
    <row r="165" spans="1:17" ht="15.75">
      <c r="A165" s="845" t="s">
        <v>694</v>
      </c>
      <c r="B165" s="845" t="s">
        <v>1288</v>
      </c>
      <c r="C165" s="845" t="str">
        <f>Financeiros!C27</f>
        <v>Financeiro CDE Eletrobras</v>
      </c>
      <c r="D165" s="845">
        <v>2</v>
      </c>
      <c r="E165" s="845">
        <v>2</v>
      </c>
      <c r="F165" s="845">
        <f>Financeiros!H27</f>
        <v>22</v>
      </c>
      <c r="G165" s="845">
        <f>Financeiros!I27</f>
        <v>60</v>
      </c>
      <c r="H165" s="845">
        <f>Financeiros!J27</f>
        <v>999</v>
      </c>
      <c r="I165" s="845">
        <f>Financeiros!K27</f>
        <v>3</v>
      </c>
      <c r="J165" s="845">
        <f>Financeiros!L27</f>
        <v>28</v>
      </c>
      <c r="K165" s="845">
        <f>Financeiros!M27</f>
        <v>9</v>
      </c>
      <c r="L165" s="845">
        <v>99</v>
      </c>
      <c r="M165" s="845">
        <v>9</v>
      </c>
      <c r="N165" s="845">
        <v>3</v>
      </c>
      <c r="O165" s="845">
        <v>99999</v>
      </c>
      <c r="P165" s="907">
        <f t="shared" si="6"/>
        <v>0</v>
      </c>
      <c r="Q165" s="232">
        <f>Financeiros!D27</f>
        <v>0</v>
      </c>
    </row>
    <row r="166" spans="1:17" ht="15.75">
      <c r="A166" s="845" t="s">
        <v>694</v>
      </c>
      <c r="B166" s="845" t="s">
        <v>1288</v>
      </c>
      <c r="C166" s="845" t="str">
        <f>Financeiros!C28</f>
        <v>Ajustes Processos anteriores</v>
      </c>
      <c r="D166" s="845">
        <v>2</v>
      </c>
      <c r="E166" s="845">
        <v>2</v>
      </c>
      <c r="F166" s="845">
        <f>Financeiros!H28</f>
        <v>22</v>
      </c>
      <c r="G166" s="845">
        <f>Financeiros!I28</f>
        <v>60</v>
      </c>
      <c r="H166" s="845">
        <f>Financeiros!J28</f>
        <v>999</v>
      </c>
      <c r="I166" s="845">
        <f>Financeiros!K28</f>
        <v>2</v>
      </c>
      <c r="J166" s="845">
        <f>Financeiros!L28</f>
        <v>30</v>
      </c>
      <c r="K166" s="845">
        <f>Financeiros!M28</f>
        <v>9</v>
      </c>
      <c r="L166" s="845">
        <v>99</v>
      </c>
      <c r="M166" s="845">
        <v>9</v>
      </c>
      <c r="N166" s="845">
        <v>3</v>
      </c>
      <c r="O166" s="845">
        <v>99999</v>
      </c>
      <c r="P166" s="907">
        <f t="shared" si="6"/>
        <v>0</v>
      </c>
      <c r="Q166" s="232">
        <f>Financeiros!D28</f>
        <v>0</v>
      </c>
    </row>
    <row r="167" spans="1:17" ht="15.75">
      <c r="A167" s="845" t="s">
        <v>694</v>
      </c>
      <c r="B167" s="845" t="s">
        <v>1288</v>
      </c>
      <c r="C167" s="845" t="str">
        <f>Financeiros!C29</f>
        <v>Compensação DIC FIC</v>
      </c>
      <c r="D167" s="845">
        <v>2</v>
      </c>
      <c r="E167" s="845">
        <v>2</v>
      </c>
      <c r="F167" s="845">
        <f>Financeiros!H29</f>
        <v>22</v>
      </c>
      <c r="G167" s="845">
        <f>Financeiros!I29</f>
        <v>60</v>
      </c>
      <c r="H167" s="845">
        <f>Financeiros!J29</f>
        <v>178</v>
      </c>
      <c r="I167" s="845">
        <f>Financeiros!K29</f>
        <v>1</v>
      </c>
      <c r="J167" s="845">
        <f>Financeiros!L29</f>
        <v>7</v>
      </c>
      <c r="K167" s="845">
        <f>Financeiros!M29</f>
        <v>9</v>
      </c>
      <c r="L167" s="845">
        <v>99</v>
      </c>
      <c r="M167" s="845">
        <v>9</v>
      </c>
      <c r="N167" s="845">
        <v>3</v>
      </c>
      <c r="O167" s="845">
        <v>99999</v>
      </c>
      <c r="P167" s="907">
        <f t="shared" si="6"/>
        <v>0</v>
      </c>
      <c r="Q167" s="232">
        <f>Financeiros!D29</f>
        <v>0</v>
      </c>
    </row>
    <row r="168" spans="1:17" ht="15.75">
      <c r="A168" s="845" t="s">
        <v>694</v>
      </c>
      <c r="B168" s="845" t="s">
        <v>1288</v>
      </c>
      <c r="C168" s="845" t="str">
        <f>Financeiros!C30</f>
        <v>Subvenção CDE</v>
      </c>
      <c r="D168" s="845">
        <v>2</v>
      </c>
      <c r="E168" s="845">
        <v>2</v>
      </c>
      <c r="F168" s="845">
        <f>Financeiros!H30</f>
        <v>22</v>
      </c>
      <c r="G168" s="845">
        <f>Financeiros!I30</f>
        <v>60</v>
      </c>
      <c r="H168" s="845">
        <f>Financeiros!J30</f>
        <v>242</v>
      </c>
      <c r="I168" s="845">
        <f>Financeiros!K30</f>
        <v>4</v>
      </c>
      <c r="J168" s="845">
        <f>Financeiros!L30</f>
        <v>999</v>
      </c>
      <c r="K168" s="845">
        <f>Financeiros!M30</f>
        <v>9</v>
      </c>
      <c r="L168" s="845">
        <v>99</v>
      </c>
      <c r="M168" s="845">
        <v>9</v>
      </c>
      <c r="N168" s="845">
        <v>3</v>
      </c>
      <c r="O168" s="845">
        <v>99999</v>
      </c>
      <c r="P168" s="907">
        <f t="shared" ca="1" si="6"/>
        <v>-2548674.1739379396</v>
      </c>
      <c r="Q168" s="232">
        <f ca="1">Financeiros!D30</f>
        <v>-2548674.1739379396</v>
      </c>
    </row>
    <row r="169" spans="1:17" ht="15.75">
      <c r="A169" s="845" t="s">
        <v>694</v>
      </c>
      <c r="B169" s="845" t="s">
        <v>1288</v>
      </c>
      <c r="C169" s="845" t="str">
        <f>Financeiros!C31</f>
        <v>Retenção de Adicionais de Bandeiras Tarifárias</v>
      </c>
      <c r="D169" s="845">
        <v>2</v>
      </c>
      <c r="E169" s="845">
        <v>2</v>
      </c>
      <c r="F169" s="845">
        <f>Financeiros!H31</f>
        <v>22</v>
      </c>
      <c r="G169" s="845">
        <f>Financeiros!I31</f>
        <v>60</v>
      </c>
      <c r="H169" s="845">
        <f>Financeiros!J31</f>
        <v>999</v>
      </c>
      <c r="I169" s="845">
        <f>Financeiros!K31</f>
        <v>2</v>
      </c>
      <c r="J169" s="845">
        <f>Financeiros!L31</f>
        <v>30</v>
      </c>
      <c r="K169" s="845">
        <f>Financeiros!M31</f>
        <v>9</v>
      </c>
      <c r="L169" s="845">
        <v>99</v>
      </c>
      <c r="M169" s="845">
        <v>9</v>
      </c>
      <c r="N169" s="845">
        <v>3</v>
      </c>
      <c r="O169" s="845">
        <v>99999</v>
      </c>
      <c r="P169" s="907">
        <f t="shared" si="6"/>
        <v>-255991.95877886674</v>
      </c>
      <c r="Q169" s="232">
        <f>Financeiros!D31</f>
        <v>-255991.95877886674</v>
      </c>
    </row>
    <row r="170" spans="1:17" ht="15.75">
      <c r="A170" s="845" t="s">
        <v>694</v>
      </c>
      <c r="B170" s="845" t="s">
        <v>1288</v>
      </c>
      <c r="C170" s="845" t="str">
        <f>Financeiros!C32</f>
        <v>Multa LPT</v>
      </c>
      <c r="D170" s="845">
        <v>2</v>
      </c>
      <c r="E170" s="845">
        <v>2</v>
      </c>
      <c r="F170" s="845">
        <f>Financeiros!H32</f>
        <v>22</v>
      </c>
      <c r="G170" s="845">
        <f>Financeiros!I32</f>
        <v>60</v>
      </c>
      <c r="H170" s="845">
        <f>Financeiros!J32</f>
        <v>120</v>
      </c>
      <c r="I170" s="845">
        <f>Financeiros!K32</f>
        <v>4</v>
      </c>
      <c r="J170" s="845">
        <f>Financeiros!L32</f>
        <v>999</v>
      </c>
      <c r="K170" s="845">
        <f>Financeiros!M32</f>
        <v>9</v>
      </c>
      <c r="L170" s="845">
        <v>99</v>
      </c>
      <c r="M170" s="845">
        <v>9</v>
      </c>
      <c r="N170" s="845">
        <v>3</v>
      </c>
      <c r="O170" s="845">
        <v>99999</v>
      </c>
      <c r="P170" s="907">
        <f t="shared" si="6"/>
        <v>0</v>
      </c>
      <c r="Q170" s="232">
        <f>Financeiros!D32</f>
        <v>0</v>
      </c>
    </row>
    <row r="171" spans="1:17" ht="15.75">
      <c r="A171" s="845" t="s">
        <v>694</v>
      </c>
      <c r="B171" s="845" t="s">
        <v>1288</v>
      </c>
      <c r="C171" s="845" t="str">
        <f>Financeiros!C33</f>
        <v>Repasse de ICMS CUSD</v>
      </c>
      <c r="D171" s="845">
        <v>2</v>
      </c>
      <c r="E171" s="845">
        <v>2</v>
      </c>
      <c r="F171" s="845">
        <f>Financeiros!H33</f>
        <v>22</v>
      </c>
      <c r="G171" s="845">
        <f>Financeiros!I33</f>
        <v>60</v>
      </c>
      <c r="H171" s="845">
        <f>Financeiros!J33</f>
        <v>999</v>
      </c>
      <c r="I171" s="845">
        <f>Financeiros!K33</f>
        <v>1</v>
      </c>
      <c r="J171" s="845">
        <f>Financeiros!L33</f>
        <v>7</v>
      </c>
      <c r="K171" s="845">
        <f>Financeiros!M33</f>
        <v>9</v>
      </c>
      <c r="L171" s="845">
        <v>99</v>
      </c>
      <c r="M171" s="845">
        <v>9</v>
      </c>
      <c r="N171" s="845">
        <v>3</v>
      </c>
      <c r="O171" s="845">
        <v>99999</v>
      </c>
      <c r="P171" s="907">
        <f t="shared" si="6"/>
        <v>0</v>
      </c>
      <c r="Q171" s="232">
        <f>Financeiros!D33</f>
        <v>0</v>
      </c>
    </row>
    <row r="172" spans="1:17" ht="15.75">
      <c r="A172" s="845" t="s">
        <v>694</v>
      </c>
      <c r="B172" s="845" t="s">
        <v>1288</v>
      </c>
      <c r="C172" s="845" t="str">
        <f>Financeiros!C34</f>
        <v>Repasse de ICMS TE</v>
      </c>
      <c r="D172" s="845">
        <v>2</v>
      </c>
      <c r="E172" s="845">
        <v>2</v>
      </c>
      <c r="F172" s="845">
        <f>Financeiros!H34</f>
        <v>22</v>
      </c>
      <c r="G172" s="845">
        <f>Financeiros!I34</f>
        <v>60</v>
      </c>
      <c r="H172" s="845">
        <f>Financeiros!J34</f>
        <v>999</v>
      </c>
      <c r="I172" s="845">
        <f>Financeiros!K34</f>
        <v>2</v>
      </c>
      <c r="J172" s="845">
        <f>Financeiros!L34</f>
        <v>30</v>
      </c>
      <c r="K172" s="845">
        <f>Financeiros!M34</f>
        <v>9</v>
      </c>
      <c r="L172" s="845">
        <v>99</v>
      </c>
      <c r="M172" s="845">
        <v>9</v>
      </c>
      <c r="N172" s="845">
        <v>3</v>
      </c>
      <c r="O172" s="845">
        <v>99999</v>
      </c>
      <c r="P172" s="907">
        <f t="shared" si="6"/>
        <v>0</v>
      </c>
      <c r="Q172" s="232">
        <f>Financeiros!D34</f>
        <v>0</v>
      </c>
    </row>
    <row r="173" spans="1:17" ht="15.75">
      <c r="A173" s="845" t="s">
        <v>694</v>
      </c>
      <c r="B173" s="845" t="s">
        <v>1288</v>
      </c>
      <c r="C173" s="845" t="str">
        <f>Financeiros!C35</f>
        <v>Ressarcimento P&amp;D</v>
      </c>
      <c r="D173" s="845">
        <v>2</v>
      </c>
      <c r="E173" s="845">
        <v>2</v>
      </c>
      <c r="F173" s="845">
        <f>Financeiros!H35</f>
        <v>22</v>
      </c>
      <c r="G173" s="845">
        <f>Financeiros!I35</f>
        <v>60</v>
      </c>
      <c r="H173" s="845">
        <f>Financeiros!J35</f>
        <v>999</v>
      </c>
      <c r="I173" s="845">
        <f>Financeiros!K35</f>
        <v>3</v>
      </c>
      <c r="J173" s="845">
        <f>Financeiros!L35</f>
        <v>19</v>
      </c>
      <c r="K173" s="845">
        <f>Financeiros!M35</f>
        <v>9</v>
      </c>
      <c r="L173" s="845">
        <v>99</v>
      </c>
      <c r="M173" s="845">
        <v>9</v>
      </c>
      <c r="N173" s="845">
        <v>3</v>
      </c>
      <c r="O173" s="845">
        <v>99999</v>
      </c>
      <c r="P173" s="907">
        <f t="shared" si="6"/>
        <v>0</v>
      </c>
      <c r="Q173" s="232">
        <f>Financeiros!D35</f>
        <v>0</v>
      </c>
    </row>
    <row r="174" spans="1:17" ht="15.75">
      <c r="A174" s="845" t="s">
        <v>694</v>
      </c>
      <c r="B174" s="845" t="s">
        <v>1288</v>
      </c>
      <c r="C174" s="845" t="str">
        <f>Financeiros!C36</f>
        <v>Efeito Conta COVID</v>
      </c>
      <c r="D174" s="845">
        <v>2</v>
      </c>
      <c r="E174" s="845">
        <v>2</v>
      </c>
      <c r="F174" s="845">
        <f>Financeiros!H36</f>
        <v>22</v>
      </c>
      <c r="G174" s="845">
        <f>Financeiros!I36</f>
        <v>60</v>
      </c>
      <c r="H174" s="845">
        <f>Financeiros!J36</f>
        <v>999</v>
      </c>
      <c r="I174" s="845">
        <f>Financeiros!K36</f>
        <v>4</v>
      </c>
      <c r="J174" s="845">
        <f>Financeiros!L36</f>
        <v>999</v>
      </c>
      <c r="K174" s="845">
        <f>Financeiros!M36</f>
        <v>9</v>
      </c>
      <c r="L174" s="845">
        <v>99</v>
      </c>
      <c r="M174" s="845">
        <v>9</v>
      </c>
      <c r="N174" s="845">
        <v>3</v>
      </c>
      <c r="O174" s="845">
        <v>99999</v>
      </c>
      <c r="P174" s="907">
        <f t="shared" si="6"/>
        <v>0</v>
      </c>
      <c r="Q174" s="232">
        <f>Financeiros!D36</f>
        <v>0</v>
      </c>
    </row>
    <row r="175" spans="1:17" ht="15.75">
      <c r="A175" s="845" t="s">
        <v>694</v>
      </c>
      <c r="B175" s="845" t="s">
        <v>1288</v>
      </c>
      <c r="C175" s="845" t="str">
        <f>Financeiros!C37</f>
        <v>Diferimento de Parcela B</v>
      </c>
      <c r="D175" s="845">
        <v>2</v>
      </c>
      <c r="E175" s="845">
        <v>2</v>
      </c>
      <c r="F175" s="845">
        <v>999</v>
      </c>
      <c r="G175" s="845">
        <v>999999</v>
      </c>
      <c r="H175" s="845">
        <v>999</v>
      </c>
      <c r="I175" s="845">
        <v>99</v>
      </c>
      <c r="J175" s="845">
        <v>999</v>
      </c>
      <c r="K175" s="845">
        <v>9</v>
      </c>
      <c r="L175" s="845">
        <v>99</v>
      </c>
      <c r="M175" s="845">
        <v>9</v>
      </c>
      <c r="N175" s="845">
        <v>3</v>
      </c>
      <c r="O175" s="845">
        <v>99999</v>
      </c>
      <c r="P175" s="907">
        <f t="shared" si="6"/>
        <v>0</v>
      </c>
      <c r="Q175" s="232">
        <f>Financeiros!D37</f>
        <v>0</v>
      </c>
    </row>
    <row r="176" spans="1:17" ht="15.75">
      <c r="A176" s="845" t="s">
        <v>694</v>
      </c>
      <c r="B176" s="845" t="s">
        <v>1288</v>
      </c>
      <c r="C176" s="845" t="str">
        <f>Financeiros!C38</f>
        <v>Efeito COVID da Supridora</v>
      </c>
      <c r="D176" s="845">
        <v>2</v>
      </c>
      <c r="E176" s="845">
        <v>2</v>
      </c>
      <c r="F176" s="845">
        <f>Financeiros!H38</f>
        <v>22</v>
      </c>
      <c r="G176" s="845">
        <f>Financeiros!I38</f>
        <v>60</v>
      </c>
      <c r="H176" s="845">
        <f>Financeiros!J38</f>
        <v>999</v>
      </c>
      <c r="I176" s="845">
        <f>Financeiros!K38</f>
        <v>2</v>
      </c>
      <c r="J176" s="845">
        <f>Financeiros!L38</f>
        <v>30</v>
      </c>
      <c r="K176" s="845">
        <f>Financeiros!M38</f>
        <v>9</v>
      </c>
      <c r="L176" s="845">
        <v>99</v>
      </c>
      <c r="M176" s="845">
        <v>9</v>
      </c>
      <c r="N176" s="845">
        <v>3</v>
      </c>
      <c r="O176" s="845">
        <v>99999</v>
      </c>
      <c r="P176" s="907">
        <f t="shared" si="6"/>
        <v>0</v>
      </c>
      <c r="Q176" s="232">
        <f>Financeiros!D38</f>
        <v>0</v>
      </c>
    </row>
    <row r="177" spans="1:17" ht="15.75">
      <c r="A177" s="845" t="s">
        <v>694</v>
      </c>
      <c r="B177" s="845" t="s">
        <v>1288</v>
      </c>
      <c r="C177" s="845" t="str">
        <f>Financeiros!C39</f>
        <v>Crédito de Pis Cofins sobre ICMS</v>
      </c>
      <c r="D177" s="845">
        <v>2</v>
      </c>
      <c r="E177" s="845">
        <v>2</v>
      </c>
      <c r="F177" s="845">
        <f>Financeiros!H39</f>
        <v>22</v>
      </c>
      <c r="G177" s="845">
        <f>Financeiros!I39</f>
        <v>60</v>
      </c>
      <c r="H177" s="845">
        <f>Financeiros!J39</f>
        <v>179</v>
      </c>
      <c r="I177" s="845">
        <f>Financeiros!K39</f>
        <v>99</v>
      </c>
      <c r="J177" s="845">
        <f>Financeiros!L39</f>
        <v>999</v>
      </c>
      <c r="K177" s="845">
        <f>Financeiros!M39</f>
        <v>3</v>
      </c>
      <c r="L177" s="845">
        <v>99</v>
      </c>
      <c r="M177" s="845">
        <v>9</v>
      </c>
      <c r="N177" s="845">
        <v>3</v>
      </c>
      <c r="O177" s="845">
        <v>99999</v>
      </c>
      <c r="P177" s="907">
        <f t="shared" si="6"/>
        <v>0</v>
      </c>
      <c r="Q177" s="232">
        <f>Financeiros!D39</f>
        <v>0</v>
      </c>
    </row>
    <row r="178" spans="1:17" ht="15.75">
      <c r="A178" s="845" t="s">
        <v>694</v>
      </c>
      <c r="B178" s="845" t="s">
        <v>1288</v>
      </c>
      <c r="C178" s="845" t="str">
        <f>Financeiros!C40</f>
        <v>Diferimento Pis Cofins TUSD</v>
      </c>
      <c r="D178" s="845">
        <v>2</v>
      </c>
      <c r="E178" s="845">
        <v>2</v>
      </c>
      <c r="F178" s="845">
        <f>Financeiros!H40</f>
        <v>22</v>
      </c>
      <c r="G178" s="845">
        <f>Financeiros!I40</f>
        <v>60</v>
      </c>
      <c r="H178" s="845">
        <f>Financeiros!J40</f>
        <v>999</v>
      </c>
      <c r="I178" s="845">
        <f>Financeiros!K40</f>
        <v>1</v>
      </c>
      <c r="J178" s="845">
        <f>Financeiros!L40</f>
        <v>7</v>
      </c>
      <c r="K178" s="845">
        <f>Financeiros!M40</f>
        <v>9</v>
      </c>
      <c r="L178" s="845">
        <v>99</v>
      </c>
      <c r="M178" s="845">
        <v>9</v>
      </c>
      <c r="N178" s="845">
        <v>3</v>
      </c>
      <c r="O178" s="845">
        <v>99999</v>
      </c>
      <c r="P178" s="907">
        <f t="shared" si="6"/>
        <v>-156272.37582038148</v>
      </c>
      <c r="Q178" s="232">
        <f>Financeiros!D40</f>
        <v>-156272.37582038148</v>
      </c>
    </row>
    <row r="179" spans="1:17" ht="15.75">
      <c r="A179" s="845" t="s">
        <v>694</v>
      </c>
      <c r="B179" s="845" t="s">
        <v>1288</v>
      </c>
      <c r="C179" s="845" t="str">
        <f>Financeiros!C41</f>
        <v>Diferimento Pis Cofins TE</v>
      </c>
      <c r="D179" s="845">
        <v>2</v>
      </c>
      <c r="E179" s="845">
        <v>2</v>
      </c>
      <c r="F179" s="845">
        <f>Financeiros!H41</f>
        <v>22</v>
      </c>
      <c r="G179" s="845">
        <f>Financeiros!I41</f>
        <v>60</v>
      </c>
      <c r="H179" s="845">
        <f>Financeiros!J41</f>
        <v>999</v>
      </c>
      <c r="I179" s="845">
        <f>Financeiros!K41</f>
        <v>2</v>
      </c>
      <c r="J179" s="845">
        <f>Financeiros!L41</f>
        <v>30</v>
      </c>
      <c r="K179" s="845">
        <f>Financeiros!M41</f>
        <v>9</v>
      </c>
      <c r="L179" s="845">
        <v>99</v>
      </c>
      <c r="M179" s="845">
        <v>9</v>
      </c>
      <c r="N179" s="845">
        <v>3</v>
      </c>
      <c r="O179" s="845">
        <v>99999</v>
      </c>
      <c r="P179" s="907">
        <f t="shared" ca="1" si="6"/>
        <v>-188587.14376403269</v>
      </c>
      <c r="Q179" s="232">
        <f ca="1">Financeiros!D41</f>
        <v>-188587.14376403269</v>
      </c>
    </row>
    <row r="180" spans="1:17" ht="15.75">
      <c r="A180" s="845" t="s">
        <v>694</v>
      </c>
      <c r="B180" s="845" t="s">
        <v>1288</v>
      </c>
      <c r="C180" s="845" t="str">
        <f>Financeiros!C42</f>
        <v>Financeiros associados ao §7º do Art. 88 da Ren 414/2021</v>
      </c>
      <c r="D180" s="845">
        <v>2</v>
      </c>
      <c r="E180" s="845">
        <v>2</v>
      </c>
      <c r="F180" s="845">
        <f>Financeiros!H42</f>
        <v>22</v>
      </c>
      <c r="G180" s="845">
        <f>Financeiros!I42</f>
        <v>60</v>
      </c>
      <c r="H180" s="845">
        <f>Financeiros!J42</f>
        <v>999</v>
      </c>
      <c r="I180" s="845">
        <f>Financeiros!K42</f>
        <v>4</v>
      </c>
      <c r="J180" s="845">
        <f>Financeiros!L42</f>
        <v>999</v>
      </c>
      <c r="K180" s="845">
        <f>Financeiros!M42</f>
        <v>9</v>
      </c>
      <c r="L180" s="845">
        <v>99</v>
      </c>
      <c r="M180" s="845">
        <v>9</v>
      </c>
      <c r="N180" s="845">
        <v>3</v>
      </c>
      <c r="O180" s="845">
        <v>99999</v>
      </c>
      <c r="P180" s="907">
        <f t="shared" si="6"/>
        <v>0</v>
      </c>
      <c r="Q180" s="232">
        <f>Financeiros!D42</f>
        <v>0</v>
      </c>
    </row>
    <row r="181" spans="1:17" ht="15.75">
      <c r="A181" s="845" t="s">
        <v>694</v>
      </c>
      <c r="B181" s="845" t="s">
        <v>1288</v>
      </c>
      <c r="C181" s="845" t="str">
        <f>Financeiros!C43</f>
        <v>Spread Conta Covid</v>
      </c>
      <c r="D181" s="845">
        <v>2</v>
      </c>
      <c r="E181" s="845">
        <v>2</v>
      </c>
      <c r="F181" s="845">
        <f>Financeiros!H43</f>
        <v>22</v>
      </c>
      <c r="G181" s="845">
        <f>Financeiros!I43</f>
        <v>60</v>
      </c>
      <c r="H181" s="845">
        <f>Financeiros!J43</f>
        <v>235</v>
      </c>
      <c r="I181" s="845">
        <f>Financeiros!K43</f>
        <v>4</v>
      </c>
      <c r="J181" s="845">
        <f>Financeiros!L43</f>
        <v>999</v>
      </c>
      <c r="K181" s="845">
        <f>Financeiros!M43</f>
        <v>9</v>
      </c>
      <c r="L181" s="845">
        <v>99</v>
      </c>
      <c r="M181" s="845">
        <v>9</v>
      </c>
      <c r="N181" s="845">
        <v>3</v>
      </c>
      <c r="O181" s="845">
        <v>99999</v>
      </c>
      <c r="P181" s="907">
        <f t="shared" si="6"/>
        <v>0</v>
      </c>
      <c r="Q181" s="232">
        <f>Financeiros!D43</f>
        <v>0</v>
      </c>
    </row>
    <row r="182" spans="1:17" ht="15.75">
      <c r="A182" s="845" t="s">
        <v>694</v>
      </c>
      <c r="B182" s="845" t="s">
        <v>1288</v>
      </c>
      <c r="C182" s="845" t="str">
        <f>Financeiros!C44</f>
        <v xml:space="preserve">Diferimento de Energia </v>
      </c>
      <c r="D182" s="845">
        <v>2</v>
      </c>
      <c r="E182" s="845">
        <v>2</v>
      </c>
      <c r="F182" s="845">
        <v>999</v>
      </c>
      <c r="G182" s="845">
        <v>999999</v>
      </c>
      <c r="H182" s="845">
        <v>999</v>
      </c>
      <c r="I182" s="845">
        <v>99</v>
      </c>
      <c r="J182" s="845">
        <v>999</v>
      </c>
      <c r="K182" s="845">
        <v>9</v>
      </c>
      <c r="L182" s="845">
        <v>99</v>
      </c>
      <c r="M182" s="845">
        <v>9</v>
      </c>
      <c r="N182" s="845">
        <v>3</v>
      </c>
      <c r="O182" s="845">
        <v>99999</v>
      </c>
      <c r="P182" s="907">
        <f t="shared" si="6"/>
        <v>0</v>
      </c>
      <c r="Q182" s="232">
        <f>Financeiros!D44</f>
        <v>0</v>
      </c>
    </row>
    <row r="183" spans="1:17" ht="15.75">
      <c r="A183" s="845" t="s">
        <v>694</v>
      </c>
      <c r="B183" s="845" t="s">
        <v>1288</v>
      </c>
      <c r="C183" s="845" t="str">
        <f>Financeiros!C45</f>
        <v xml:space="preserve">Reversão do Diferimento de Compra de Energia </v>
      </c>
      <c r="D183" s="845">
        <v>2</v>
      </c>
      <c r="E183" s="845">
        <v>2</v>
      </c>
      <c r="F183" s="845">
        <v>999</v>
      </c>
      <c r="G183" s="845">
        <v>999999</v>
      </c>
      <c r="H183" s="845">
        <v>999</v>
      </c>
      <c r="I183" s="845">
        <v>99</v>
      </c>
      <c r="J183" s="845">
        <v>999</v>
      </c>
      <c r="K183" s="845">
        <v>9</v>
      </c>
      <c r="L183" s="845">
        <v>99</v>
      </c>
      <c r="M183" s="845">
        <v>9</v>
      </c>
      <c r="N183" s="845">
        <v>3</v>
      </c>
      <c r="O183" s="845">
        <v>99999</v>
      </c>
      <c r="P183" s="907">
        <f t="shared" si="6"/>
        <v>0</v>
      </c>
      <c r="Q183" s="232">
        <f>Financeiros!D45</f>
        <v>0</v>
      </c>
    </row>
    <row r="184" spans="1:17" ht="15.75">
      <c r="A184" s="845" t="s">
        <v>694</v>
      </c>
      <c r="B184" s="845" t="s">
        <v>1288</v>
      </c>
      <c r="C184" s="845" t="str">
        <f>Financeiros!C46</f>
        <v>Reversão do Diferimento de Parcela B</v>
      </c>
      <c r="D184" s="845">
        <v>2</v>
      </c>
      <c r="E184" s="845">
        <v>2</v>
      </c>
      <c r="F184" s="845">
        <v>999</v>
      </c>
      <c r="G184" s="845">
        <v>999999</v>
      </c>
      <c r="H184" s="845">
        <v>999</v>
      </c>
      <c r="I184" s="845">
        <v>99</v>
      </c>
      <c r="J184" s="845">
        <v>999</v>
      </c>
      <c r="K184" s="845">
        <v>9</v>
      </c>
      <c r="L184" s="845">
        <v>99</v>
      </c>
      <c r="M184" s="845">
        <v>9</v>
      </c>
      <c r="N184" s="845">
        <v>3</v>
      </c>
      <c r="O184" s="845">
        <v>99999</v>
      </c>
      <c r="P184" s="907">
        <f t="shared" si="6"/>
        <v>0</v>
      </c>
      <c r="Q184" s="232">
        <f>Financeiros!D46</f>
        <v>0</v>
      </c>
    </row>
    <row r="185" spans="1:17" ht="15.75">
      <c r="A185" s="845" t="s">
        <v>694</v>
      </c>
      <c r="B185" s="845" t="s">
        <v>1288</v>
      </c>
      <c r="C185" s="845" t="str">
        <f>Financeiros!C47</f>
        <v>Reversão do Diferimento de Pis Confins TUSD</v>
      </c>
      <c r="D185" s="845">
        <v>2</v>
      </c>
      <c r="E185" s="845">
        <v>2</v>
      </c>
      <c r="F185" s="845">
        <f>Financeiros!H47</f>
        <v>22</v>
      </c>
      <c r="G185" s="845">
        <f>Financeiros!I47</f>
        <v>60</v>
      </c>
      <c r="H185" s="845">
        <f>Financeiros!J47</f>
        <v>999</v>
      </c>
      <c r="I185" s="845">
        <f>Financeiros!K47</f>
        <v>1</v>
      </c>
      <c r="J185" s="845">
        <f>Financeiros!L47</f>
        <v>7</v>
      </c>
      <c r="K185" s="845">
        <f>Financeiros!M47</f>
        <v>9</v>
      </c>
      <c r="L185" s="845">
        <v>99</v>
      </c>
      <c r="M185" s="845">
        <v>9</v>
      </c>
      <c r="N185" s="845">
        <v>3</v>
      </c>
      <c r="O185" s="845">
        <v>99999</v>
      </c>
      <c r="P185" s="907">
        <f t="shared" si="6"/>
        <v>259061.82052610171</v>
      </c>
      <c r="Q185" s="232">
        <f>Financeiros!D47</f>
        <v>259061.82052610171</v>
      </c>
    </row>
    <row r="186" spans="1:17" ht="15.75">
      <c r="A186" s="845" t="s">
        <v>694</v>
      </c>
      <c r="B186" s="845" t="s">
        <v>1288</v>
      </c>
      <c r="C186" s="845" t="str">
        <f>Financeiros!C48</f>
        <v>Reversão do Diferimento de Pis Confins TE</v>
      </c>
      <c r="D186" s="845">
        <v>2</v>
      </c>
      <c r="E186" s="845">
        <v>2</v>
      </c>
      <c r="F186" s="845">
        <f>Financeiros!H48</f>
        <v>22</v>
      </c>
      <c r="G186" s="845">
        <f>Financeiros!I48</f>
        <v>60</v>
      </c>
      <c r="H186" s="845">
        <f>Financeiros!J48</f>
        <v>999</v>
      </c>
      <c r="I186" s="845">
        <f>Financeiros!K48</f>
        <v>2</v>
      </c>
      <c r="J186" s="845">
        <f>Financeiros!L48</f>
        <v>30</v>
      </c>
      <c r="K186" s="845">
        <f>Financeiros!M48</f>
        <v>9</v>
      </c>
      <c r="L186" s="845">
        <v>99</v>
      </c>
      <c r="M186" s="845">
        <v>9</v>
      </c>
      <c r="N186" s="845">
        <v>3</v>
      </c>
      <c r="O186" s="845">
        <v>99999</v>
      </c>
      <c r="P186" s="907">
        <f t="shared" si="6"/>
        <v>143009.23456449484</v>
      </c>
      <c r="Q186" s="232">
        <f>Financeiros!D48</f>
        <v>143009.23456449484</v>
      </c>
    </row>
    <row r="187" spans="1:17" ht="15.75">
      <c r="A187" s="845" t="s">
        <v>694</v>
      </c>
      <c r="B187" s="845" t="s">
        <v>1288</v>
      </c>
      <c r="C187" s="845" t="str">
        <f>Financeiros!C49</f>
        <v>CVE ccc</v>
      </c>
      <c r="D187" s="845">
        <v>2</v>
      </c>
      <c r="E187" s="845">
        <v>2</v>
      </c>
      <c r="F187" s="845">
        <f>Financeiros!H49</f>
        <v>22</v>
      </c>
      <c r="G187" s="845">
        <f>Financeiros!I49</f>
        <v>60</v>
      </c>
      <c r="H187" s="845">
        <f>Financeiros!J49</f>
        <v>241</v>
      </c>
      <c r="I187" s="845">
        <f>Financeiros!K49</f>
        <v>3</v>
      </c>
      <c r="J187" s="845">
        <f>Financeiros!L49</f>
        <v>13</v>
      </c>
      <c r="K187" s="845">
        <f>Financeiros!M49</f>
        <v>9</v>
      </c>
      <c r="L187" s="845">
        <v>99</v>
      </c>
      <c r="M187" s="845">
        <v>9</v>
      </c>
      <c r="N187" s="845">
        <v>3</v>
      </c>
      <c r="O187" s="845">
        <v>99999</v>
      </c>
      <c r="P187" s="907">
        <f t="shared" si="6"/>
        <v>0</v>
      </c>
      <c r="Q187" s="232">
        <f>Financeiros!D49</f>
        <v>0</v>
      </c>
    </row>
    <row r="188" spans="1:17" ht="15.75">
      <c r="A188" s="845" t="s">
        <v>694</v>
      </c>
      <c r="B188" s="845" t="s">
        <v>1288</v>
      </c>
      <c r="C188" s="845" t="str">
        <f>Financeiros!C50</f>
        <v>CVE cde</v>
      </c>
      <c r="D188" s="845">
        <v>2</v>
      </c>
      <c r="E188" s="845">
        <v>2</v>
      </c>
      <c r="F188" s="845">
        <f>Financeiros!H50</f>
        <v>22</v>
      </c>
      <c r="G188" s="845">
        <f>Financeiros!I50</f>
        <v>60</v>
      </c>
      <c r="H188" s="845">
        <f>Financeiros!J50</f>
        <v>241</v>
      </c>
      <c r="I188" s="845">
        <f>Financeiros!K50</f>
        <v>3</v>
      </c>
      <c r="J188" s="845">
        <f>Financeiros!L50</f>
        <v>15</v>
      </c>
      <c r="K188" s="845">
        <f>Financeiros!M50</f>
        <v>9</v>
      </c>
      <c r="L188" s="845">
        <v>99</v>
      </c>
      <c r="M188" s="845">
        <v>9</v>
      </c>
      <c r="N188" s="845">
        <v>3</v>
      </c>
      <c r="O188" s="845">
        <v>99999</v>
      </c>
      <c r="P188" s="907">
        <f t="shared" si="6"/>
        <v>0</v>
      </c>
      <c r="Q188" s="232">
        <f>Financeiros!D50</f>
        <v>0</v>
      </c>
    </row>
    <row r="189" spans="1:17" ht="15.75">
      <c r="A189" s="845" t="s">
        <v>694</v>
      </c>
      <c r="B189" s="845" t="s">
        <v>1288</v>
      </c>
      <c r="C189" s="845" t="str">
        <f>Financeiros!C51</f>
        <v>CVE cde energia</v>
      </c>
      <c r="D189" s="845">
        <v>2</v>
      </c>
      <c r="E189" s="845">
        <v>2</v>
      </c>
      <c r="F189" s="845">
        <f>Financeiros!H51</f>
        <v>22</v>
      </c>
      <c r="G189" s="845">
        <f>Financeiros!I51</f>
        <v>60</v>
      </c>
      <c r="H189" s="845">
        <f>Financeiros!J51</f>
        <v>241</v>
      </c>
      <c r="I189" s="845">
        <f>Financeiros!K51</f>
        <v>3</v>
      </c>
      <c r="J189" s="845">
        <f>Financeiros!L51</f>
        <v>25</v>
      </c>
      <c r="K189" s="845">
        <f>Financeiros!M51</f>
        <v>9</v>
      </c>
      <c r="L189" s="845">
        <v>99</v>
      </c>
      <c r="M189" s="845">
        <v>9</v>
      </c>
      <c r="N189" s="845">
        <v>3</v>
      </c>
      <c r="O189" s="845">
        <v>99999</v>
      </c>
      <c r="P189" s="907">
        <f t="shared" si="6"/>
        <v>0</v>
      </c>
      <c r="Q189" s="232">
        <f>Financeiros!D51</f>
        <v>0</v>
      </c>
    </row>
    <row r="190" spans="1:17" ht="15.75">
      <c r="A190" s="845" t="s">
        <v>694</v>
      </c>
      <c r="B190" s="845" t="s">
        <v>1288</v>
      </c>
      <c r="C190" s="845" t="str">
        <f>Financeiros!C52</f>
        <v>CVE RB - Nodal</v>
      </c>
      <c r="D190" s="845">
        <v>2</v>
      </c>
      <c r="E190" s="845">
        <v>2</v>
      </c>
      <c r="F190" s="845">
        <f>Financeiros!H52</f>
        <v>22</v>
      </c>
      <c r="G190" s="845">
        <f>Financeiros!I52</f>
        <v>60</v>
      </c>
      <c r="H190" s="845">
        <f>Financeiros!J52</f>
        <v>241</v>
      </c>
      <c r="I190" s="845">
        <f>Financeiros!K52</f>
        <v>1</v>
      </c>
      <c r="J190" s="845">
        <f>Financeiros!L52</f>
        <v>1</v>
      </c>
      <c r="K190" s="845">
        <f>Financeiros!M52</f>
        <v>9</v>
      </c>
      <c r="L190" s="845">
        <v>99</v>
      </c>
      <c r="M190" s="845">
        <v>9</v>
      </c>
      <c r="N190" s="845">
        <v>3</v>
      </c>
      <c r="O190" s="845">
        <v>99999</v>
      </c>
      <c r="P190" s="907">
        <f t="shared" si="6"/>
        <v>0</v>
      </c>
      <c r="Q190" s="232">
        <f>Financeiros!D52</f>
        <v>0</v>
      </c>
    </row>
    <row r="191" spans="1:17" ht="15.75">
      <c r="A191" s="845" t="s">
        <v>694</v>
      </c>
      <c r="B191" s="845" t="s">
        <v>1288</v>
      </c>
      <c r="C191" s="845" t="str">
        <f>Financeiros!C53</f>
        <v>CVE RB - Fronteira</v>
      </c>
      <c r="D191" s="845">
        <v>2</v>
      </c>
      <c r="E191" s="845">
        <v>2</v>
      </c>
      <c r="F191" s="845">
        <f>Financeiros!H53</f>
        <v>22</v>
      </c>
      <c r="G191" s="845">
        <f>Financeiros!I53</f>
        <v>60</v>
      </c>
      <c r="H191" s="845">
        <f>Financeiros!J53</f>
        <v>241</v>
      </c>
      <c r="I191" s="845">
        <f>Financeiros!K53</f>
        <v>1</v>
      </c>
      <c r="J191" s="845">
        <f>Financeiros!L53</f>
        <v>1</v>
      </c>
      <c r="K191" s="845">
        <f>Financeiros!M53</f>
        <v>9</v>
      </c>
      <c r="L191" s="845">
        <v>99</v>
      </c>
      <c r="M191" s="845">
        <v>9</v>
      </c>
      <c r="N191" s="845">
        <v>3</v>
      </c>
      <c r="O191" s="845">
        <v>99999</v>
      </c>
      <c r="P191" s="907">
        <f t="shared" si="6"/>
        <v>0</v>
      </c>
      <c r="Q191" s="232">
        <f>Financeiros!D53</f>
        <v>0</v>
      </c>
    </row>
    <row r="192" spans="1:17" ht="15.75">
      <c r="A192" s="845" t="s">
        <v>694</v>
      </c>
      <c r="B192" s="845" t="s">
        <v>1288</v>
      </c>
      <c r="C192" s="845" t="str">
        <f>Financeiros!C54</f>
        <v>CVE RB - TUSDg EXP</v>
      </c>
      <c r="D192" s="845">
        <v>2</v>
      </c>
      <c r="E192" s="845">
        <v>2</v>
      </c>
      <c r="F192" s="845">
        <f>Financeiros!H54</f>
        <v>22</v>
      </c>
      <c r="G192" s="845">
        <f>Financeiros!I54</f>
        <v>60</v>
      </c>
      <c r="H192" s="845">
        <f>Financeiros!J54</f>
        <v>241</v>
      </c>
      <c r="I192" s="845">
        <f>Financeiros!K54</f>
        <v>1</v>
      </c>
      <c r="J192" s="845">
        <f>Financeiros!L54</f>
        <v>1</v>
      </c>
      <c r="K192" s="845">
        <f>Financeiros!M54</f>
        <v>9</v>
      </c>
      <c r="L192" s="845">
        <v>99</v>
      </c>
      <c r="M192" s="845">
        <v>9</v>
      </c>
      <c r="N192" s="845">
        <v>3</v>
      </c>
      <c r="O192" s="845">
        <v>99999</v>
      </c>
      <c r="P192" s="907">
        <f t="shared" si="6"/>
        <v>0</v>
      </c>
      <c r="Q192" s="232">
        <f>Financeiros!D54</f>
        <v>0</v>
      </c>
    </row>
    <row r="193" spans="1:17" ht="15.75">
      <c r="A193" s="845" t="s">
        <v>694</v>
      </c>
      <c r="B193" s="845" t="s">
        <v>1288</v>
      </c>
      <c r="C193" s="845" t="str">
        <f>Financeiros!C55</f>
        <v>CVE RB - TUSDg ONS</v>
      </c>
      <c r="D193" s="845">
        <v>2</v>
      </c>
      <c r="E193" s="845">
        <v>2</v>
      </c>
      <c r="F193" s="845">
        <f>Financeiros!H55</f>
        <v>22</v>
      </c>
      <c r="G193" s="845">
        <f>Financeiros!I55</f>
        <v>60</v>
      </c>
      <c r="H193" s="845">
        <f>Financeiros!J55</f>
        <v>241</v>
      </c>
      <c r="I193" s="845">
        <f>Financeiros!K55</f>
        <v>1</v>
      </c>
      <c r="J193" s="845">
        <f>Financeiros!L55</f>
        <v>1</v>
      </c>
      <c r="K193" s="845">
        <f>Financeiros!M55</f>
        <v>9</v>
      </c>
      <c r="L193" s="845">
        <v>99</v>
      </c>
      <c r="M193" s="845">
        <v>9</v>
      </c>
      <c r="N193" s="845">
        <v>3</v>
      </c>
      <c r="O193" s="845">
        <v>99999</v>
      </c>
      <c r="P193" s="907">
        <f t="shared" si="6"/>
        <v>0</v>
      </c>
      <c r="Q193" s="232">
        <f>Financeiros!D55</f>
        <v>0</v>
      </c>
    </row>
    <row r="194" spans="1:17" ht="15.75">
      <c r="A194" s="845" t="s">
        <v>694</v>
      </c>
      <c r="B194" s="845" t="s">
        <v>1288</v>
      </c>
      <c r="C194" s="845" t="str">
        <f>Financeiros!C56</f>
        <v>CVE RB - EUST Itaipu</v>
      </c>
      <c r="D194" s="845">
        <v>2</v>
      </c>
      <c r="E194" s="845">
        <v>2</v>
      </c>
      <c r="F194" s="845">
        <f>Financeiros!H56</f>
        <v>22</v>
      </c>
      <c r="G194" s="845">
        <f>Financeiros!I56</f>
        <v>60</v>
      </c>
      <c r="H194" s="845">
        <f>Financeiros!J56</f>
        <v>241</v>
      </c>
      <c r="I194" s="845">
        <f>Financeiros!K56</f>
        <v>1</v>
      </c>
      <c r="J194" s="845">
        <f>Financeiros!L56</f>
        <v>1</v>
      </c>
      <c r="K194" s="845">
        <f>Financeiros!M56</f>
        <v>9</v>
      </c>
      <c r="L194" s="845">
        <v>99</v>
      </c>
      <c r="M194" s="845">
        <v>9</v>
      </c>
      <c r="N194" s="845">
        <v>3</v>
      </c>
      <c r="O194" s="845">
        <v>99999</v>
      </c>
      <c r="P194" s="907">
        <f t="shared" si="6"/>
        <v>0</v>
      </c>
      <c r="Q194" s="232">
        <f>Financeiros!D56</f>
        <v>0</v>
      </c>
    </row>
    <row r="195" spans="1:17" ht="15.75">
      <c r="A195" s="845" t="s">
        <v>694</v>
      </c>
      <c r="B195" s="845" t="s">
        <v>1288</v>
      </c>
      <c r="C195" s="845" t="str">
        <f>Financeiros!C57</f>
        <v>CVE- Transporte Itaipu</v>
      </c>
      <c r="D195" s="845">
        <v>2</v>
      </c>
      <c r="E195" s="845">
        <v>2</v>
      </c>
      <c r="F195" s="845">
        <f>Financeiros!H57</f>
        <v>22</v>
      </c>
      <c r="G195" s="845">
        <f>Financeiros!I57</f>
        <v>60</v>
      </c>
      <c r="H195" s="845">
        <f>Financeiros!J57</f>
        <v>241</v>
      </c>
      <c r="I195" s="845">
        <f>Financeiros!K57</f>
        <v>1</v>
      </c>
      <c r="J195" s="845">
        <f>Financeiros!L57</f>
        <v>21</v>
      </c>
      <c r="K195" s="845">
        <f>Financeiros!M57</f>
        <v>9</v>
      </c>
      <c r="L195" s="845">
        <v>99</v>
      </c>
      <c r="M195" s="845">
        <v>9</v>
      </c>
      <c r="N195" s="845">
        <v>3</v>
      </c>
      <c r="O195" s="845">
        <v>99999</v>
      </c>
      <c r="P195" s="907">
        <f t="shared" si="6"/>
        <v>0</v>
      </c>
      <c r="Q195" s="232">
        <f>Financeiros!D57</f>
        <v>0</v>
      </c>
    </row>
    <row r="196" spans="1:17" ht="15.75">
      <c r="A196" s="845" t="s">
        <v>694</v>
      </c>
      <c r="B196" s="845" t="s">
        <v>1288</v>
      </c>
      <c r="C196" s="845" t="str">
        <f>Financeiros!C58</f>
        <v>CVE - Energia - Energia de Revenda</v>
      </c>
      <c r="D196" s="845">
        <v>2</v>
      </c>
      <c r="E196" s="845">
        <v>2</v>
      </c>
      <c r="F196" s="845">
        <f>Financeiros!H58</f>
        <v>22</v>
      </c>
      <c r="G196" s="845">
        <f>Financeiros!I58</f>
        <v>60</v>
      </c>
      <c r="H196" s="845">
        <f>Financeiros!J58</f>
        <v>241</v>
      </c>
      <c r="I196" s="845">
        <f>Financeiros!K58</f>
        <v>2</v>
      </c>
      <c r="J196" s="845">
        <f>Financeiros!L58</f>
        <v>11</v>
      </c>
      <c r="K196" s="845">
        <f>Financeiros!M58</f>
        <v>9</v>
      </c>
      <c r="L196" s="845">
        <v>99</v>
      </c>
      <c r="M196" s="845">
        <v>9</v>
      </c>
      <c r="N196" s="845">
        <v>3</v>
      </c>
      <c r="O196" s="845">
        <v>99999</v>
      </c>
      <c r="P196" s="907">
        <f t="shared" ca="1" si="6"/>
        <v>0</v>
      </c>
      <c r="Q196" s="232">
        <f ca="1">Financeiros!D58</f>
        <v>0</v>
      </c>
    </row>
    <row r="197" spans="1:17" ht="15.75">
      <c r="A197" s="845" t="s">
        <v>694</v>
      </c>
      <c r="B197" s="845" t="s">
        <v>1288</v>
      </c>
      <c r="C197" s="845" t="str">
        <f>Financeiros!C59</f>
        <v>CVE - Energia - Perda Não Técnica</v>
      </c>
      <c r="D197" s="845">
        <v>2</v>
      </c>
      <c r="E197" s="845">
        <v>2</v>
      </c>
      <c r="F197" s="845">
        <f>Financeiros!H59</f>
        <v>22</v>
      </c>
      <c r="G197" s="845">
        <f>Financeiros!I59</f>
        <v>60</v>
      </c>
      <c r="H197" s="845">
        <f>Financeiros!J59</f>
        <v>241</v>
      </c>
      <c r="I197" s="845">
        <f>Financeiros!K59</f>
        <v>2</v>
      </c>
      <c r="J197" s="845">
        <f>Financeiros!L59</f>
        <v>9</v>
      </c>
      <c r="K197" s="845">
        <f>Financeiros!M59</f>
        <v>9</v>
      </c>
      <c r="L197" s="845">
        <v>99</v>
      </c>
      <c r="M197" s="845">
        <v>9</v>
      </c>
      <c r="N197" s="845">
        <v>3</v>
      </c>
      <c r="O197" s="845">
        <v>99999</v>
      </c>
      <c r="P197" s="907">
        <f t="shared" ca="1" si="6"/>
        <v>0</v>
      </c>
      <c r="Q197" s="232">
        <f ca="1">Financeiros!D59</f>
        <v>0</v>
      </c>
    </row>
    <row r="198" spans="1:17" ht="15.75">
      <c r="A198" s="845" t="s">
        <v>694</v>
      </c>
      <c r="B198" s="845" t="s">
        <v>1288</v>
      </c>
      <c r="C198" s="845" t="str">
        <f>Financeiros!C60</f>
        <v>CVE - Energia - Perda Técnica</v>
      </c>
      <c r="D198" s="845">
        <v>2</v>
      </c>
      <c r="E198" s="845">
        <v>2</v>
      </c>
      <c r="F198" s="845">
        <f>Financeiros!H60</f>
        <v>22</v>
      </c>
      <c r="G198" s="845">
        <f>Financeiros!I60</f>
        <v>60</v>
      </c>
      <c r="H198" s="845">
        <f>Financeiros!J60</f>
        <v>241</v>
      </c>
      <c r="I198" s="845">
        <f>Financeiros!K60</f>
        <v>2</v>
      </c>
      <c r="J198" s="845">
        <f>Financeiros!L60</f>
        <v>8</v>
      </c>
      <c r="K198" s="845">
        <f>Financeiros!M60</f>
        <v>9</v>
      </c>
      <c r="L198" s="845">
        <v>99</v>
      </c>
      <c r="M198" s="845">
        <v>9</v>
      </c>
      <c r="N198" s="845">
        <v>3</v>
      </c>
      <c r="O198" s="845">
        <v>99999</v>
      </c>
      <c r="P198" s="907">
        <f t="shared" ca="1" si="6"/>
        <v>0</v>
      </c>
      <c r="Q198" s="232">
        <f ca="1">Financeiros!D60</f>
        <v>0</v>
      </c>
    </row>
    <row r="199" spans="1:17" ht="15.75">
      <c r="A199" s="845" t="s">
        <v>694</v>
      </c>
      <c r="B199" s="845" t="s">
        <v>1288</v>
      </c>
      <c r="C199" s="845" t="str">
        <f>Financeiros!C61</f>
        <v>CVE - Energia -  Perda de RB sobre a distribuição</v>
      </c>
      <c r="D199" s="845">
        <v>2</v>
      </c>
      <c r="E199" s="845">
        <v>2</v>
      </c>
      <c r="F199" s="845">
        <f>Financeiros!H61</f>
        <v>22</v>
      </c>
      <c r="G199" s="845">
        <f>Financeiros!I61</f>
        <v>60</v>
      </c>
      <c r="H199" s="845">
        <f>Financeiros!J61</f>
        <v>241</v>
      </c>
      <c r="I199" s="845">
        <f>Financeiros!K61</f>
        <v>2</v>
      </c>
      <c r="J199" s="845">
        <f>Financeiros!L61</f>
        <v>10</v>
      </c>
      <c r="K199" s="845">
        <f>Financeiros!M61</f>
        <v>9</v>
      </c>
      <c r="L199" s="845">
        <v>99</v>
      </c>
      <c r="M199" s="845">
        <v>9</v>
      </c>
      <c r="N199" s="845">
        <v>3</v>
      </c>
      <c r="O199" s="845">
        <v>99999</v>
      </c>
      <c r="P199" s="907">
        <f t="shared" ca="1" si="6"/>
        <v>0</v>
      </c>
      <c r="Q199" s="232">
        <f ca="1">Financeiros!D61</f>
        <v>0</v>
      </c>
    </row>
    <row r="200" spans="1:17" ht="15.75">
      <c r="A200" s="845" t="s">
        <v>694</v>
      </c>
      <c r="B200" s="845" t="s">
        <v>1288</v>
      </c>
      <c r="C200" s="845" t="str">
        <f>Financeiros!C62</f>
        <v>CVE - Energia -  Perda de RB sobre o mercado cativo</v>
      </c>
      <c r="D200" s="845">
        <v>2</v>
      </c>
      <c r="E200" s="845">
        <v>2</v>
      </c>
      <c r="F200" s="845">
        <f>Financeiros!H62</f>
        <v>22</v>
      </c>
      <c r="G200" s="845">
        <f>Financeiros!I62</f>
        <v>60</v>
      </c>
      <c r="H200" s="845">
        <f>Financeiros!J62</f>
        <v>241</v>
      </c>
      <c r="I200" s="845">
        <f>Financeiros!K62</f>
        <v>2</v>
      </c>
      <c r="J200" s="845">
        <f>Financeiros!L62</f>
        <v>24</v>
      </c>
      <c r="K200" s="845">
        <f>Financeiros!M62</f>
        <v>9</v>
      </c>
      <c r="L200" s="845">
        <v>99</v>
      </c>
      <c r="M200" s="845">
        <v>9</v>
      </c>
      <c r="N200" s="845">
        <v>3</v>
      </c>
      <c r="O200" s="845">
        <v>99999</v>
      </c>
      <c r="P200" s="907">
        <f t="shared" ca="1" si="6"/>
        <v>0</v>
      </c>
      <c r="Q200" s="232">
        <f ca="1">Financeiros!D62</f>
        <v>0</v>
      </c>
    </row>
    <row r="201" spans="1:17" ht="15.75">
      <c r="A201" s="845" t="s">
        <v>694</v>
      </c>
      <c r="B201" s="845" t="s">
        <v>1288</v>
      </c>
      <c r="C201" s="845" t="str">
        <f>Financeiros!C63</f>
        <v>CVE - Encargos - PROINFA</v>
      </c>
      <c r="D201" s="845">
        <v>2</v>
      </c>
      <c r="E201" s="845">
        <v>2</v>
      </c>
      <c r="F201" s="845">
        <f>Financeiros!H63</f>
        <v>22</v>
      </c>
      <c r="G201" s="845">
        <f>Financeiros!I63</f>
        <v>60</v>
      </c>
      <c r="H201" s="845">
        <f>Financeiros!J63</f>
        <v>241</v>
      </c>
      <c r="I201" s="845">
        <f>Financeiros!K63</f>
        <v>3</v>
      </c>
      <c r="J201" s="845">
        <f>Financeiros!L63</f>
        <v>18</v>
      </c>
      <c r="K201" s="845">
        <f>Financeiros!M63</f>
        <v>9</v>
      </c>
      <c r="L201" s="845">
        <v>99</v>
      </c>
      <c r="M201" s="845">
        <v>9</v>
      </c>
      <c r="N201" s="845">
        <v>3</v>
      </c>
      <c r="O201" s="845">
        <v>99999</v>
      </c>
      <c r="P201" s="907">
        <f t="shared" si="6"/>
        <v>0</v>
      </c>
      <c r="Q201" s="232">
        <f>Financeiros!D63</f>
        <v>0</v>
      </c>
    </row>
    <row r="202" spans="1:17" ht="15.75">
      <c r="A202" s="845" t="s">
        <v>694</v>
      </c>
      <c r="B202" s="845" t="s">
        <v>1288</v>
      </c>
      <c r="C202" s="845" t="str">
        <f>Financeiros!C64</f>
        <v>CVE - Encargos - CFURH</v>
      </c>
      <c r="D202" s="845">
        <v>2</v>
      </c>
      <c r="E202" s="845">
        <v>2</v>
      </c>
      <c r="F202" s="845">
        <f>Financeiros!H64</f>
        <v>22</v>
      </c>
      <c r="G202" s="845">
        <f>Financeiros!I64</f>
        <v>60</v>
      </c>
      <c r="H202" s="845">
        <f>Financeiros!J64</f>
        <v>241</v>
      </c>
      <c r="I202" s="845">
        <f>Financeiros!K64</f>
        <v>3</v>
      </c>
      <c r="J202" s="845">
        <f>Financeiros!L64</f>
        <v>16</v>
      </c>
      <c r="K202" s="845">
        <f>Financeiros!M64</f>
        <v>9</v>
      </c>
      <c r="L202" s="845">
        <v>99</v>
      </c>
      <c r="M202" s="845">
        <v>9</v>
      </c>
      <c r="N202" s="845">
        <v>3</v>
      </c>
      <c r="O202" s="845">
        <v>99999</v>
      </c>
      <c r="P202" s="907">
        <f t="shared" si="6"/>
        <v>0</v>
      </c>
      <c r="Q202" s="232">
        <f>Financeiros!D64</f>
        <v>0</v>
      </c>
    </row>
    <row r="203" spans="1:17" ht="15.75">
      <c r="A203" s="845" t="s">
        <v>694</v>
      </c>
      <c r="B203" s="845" t="s">
        <v>1288</v>
      </c>
      <c r="C203" s="845" t="str">
        <f>Financeiros!C65</f>
        <v>CVE - Encargos - ESS/EER</v>
      </c>
      <c r="D203" s="845">
        <v>2</v>
      </c>
      <c r="E203" s="845">
        <v>2</v>
      </c>
      <c r="F203" s="845">
        <f>Financeiros!H65</f>
        <v>22</v>
      </c>
      <c r="G203" s="845">
        <f>Financeiros!I65</f>
        <v>60</v>
      </c>
      <c r="H203" s="845">
        <f>Financeiros!J65</f>
        <v>241</v>
      </c>
      <c r="I203" s="845">
        <f>Financeiros!K65</f>
        <v>3</v>
      </c>
      <c r="J203" s="845">
        <f>Financeiros!L65</f>
        <v>17</v>
      </c>
      <c r="K203" s="845">
        <f>Financeiros!M65</f>
        <v>9</v>
      </c>
      <c r="L203" s="845">
        <v>99</v>
      </c>
      <c r="M203" s="845">
        <v>9</v>
      </c>
      <c r="N203" s="845">
        <v>3</v>
      </c>
      <c r="O203" s="845">
        <v>99999</v>
      </c>
      <c r="P203" s="907">
        <f t="shared" si="6"/>
        <v>0</v>
      </c>
      <c r="Q203" s="232">
        <f>Financeiros!D65</f>
        <v>0</v>
      </c>
    </row>
    <row r="204" spans="1:17" ht="15.75">
      <c r="A204" s="845" t="s">
        <v>694</v>
      </c>
      <c r="B204" s="845" t="s">
        <v>1288</v>
      </c>
      <c r="C204" s="845" t="str">
        <f>Financeiros!C66</f>
        <v>Conta Escassez H. - Importação julho- agosto/2021 - RTA 2022 - Energia de Revenda</v>
      </c>
      <c r="D204" s="845">
        <v>2</v>
      </c>
      <c r="E204" s="845">
        <v>2</v>
      </c>
      <c r="F204" s="845">
        <f>Financeiros!H66</f>
        <v>22</v>
      </c>
      <c r="G204" s="845">
        <f>Financeiros!I66</f>
        <v>60</v>
      </c>
      <c r="H204" s="845">
        <f>Financeiros!J66</f>
        <v>240</v>
      </c>
      <c r="I204" s="845">
        <f>Financeiros!K66</f>
        <v>2</v>
      </c>
      <c r="J204" s="845">
        <f>Financeiros!L66</f>
        <v>11</v>
      </c>
      <c r="K204" s="845">
        <f>Financeiros!M66</f>
        <v>9</v>
      </c>
      <c r="L204" s="845">
        <v>99</v>
      </c>
      <c r="M204" s="845">
        <v>9</v>
      </c>
      <c r="N204" s="845">
        <v>3</v>
      </c>
      <c r="O204" s="845">
        <v>99999</v>
      </c>
      <c r="P204" s="907">
        <f t="shared" ca="1" si="6"/>
        <v>0</v>
      </c>
      <c r="Q204" s="232">
        <f ca="1">Financeiros!D66</f>
        <v>0</v>
      </c>
    </row>
    <row r="205" spans="1:17" ht="15.75">
      <c r="A205" s="845" t="s">
        <v>694</v>
      </c>
      <c r="B205" s="845" t="s">
        <v>1288</v>
      </c>
      <c r="C205" s="845" t="str">
        <f>Financeiros!C67</f>
        <v>Conta Escassez H. - Importação julho- agosto/2021 - RTA 2022 - Perda Não Técnica</v>
      </c>
      <c r="D205" s="845">
        <v>2</v>
      </c>
      <c r="E205" s="845">
        <v>2</v>
      </c>
      <c r="F205" s="845">
        <f>Financeiros!H67</f>
        <v>22</v>
      </c>
      <c r="G205" s="845">
        <f>Financeiros!I67</f>
        <v>60</v>
      </c>
      <c r="H205" s="845">
        <f>Financeiros!J67</f>
        <v>240</v>
      </c>
      <c r="I205" s="845">
        <f>Financeiros!K67</f>
        <v>2</v>
      </c>
      <c r="J205" s="845">
        <f>Financeiros!L67</f>
        <v>9</v>
      </c>
      <c r="K205" s="845">
        <f>Financeiros!M67</f>
        <v>9</v>
      </c>
      <c r="L205" s="845">
        <v>99</v>
      </c>
      <c r="M205" s="845">
        <v>9</v>
      </c>
      <c r="N205" s="845">
        <v>3</v>
      </c>
      <c r="O205" s="845">
        <v>99999</v>
      </c>
      <c r="P205" s="907">
        <f t="shared" ca="1" si="6"/>
        <v>0</v>
      </c>
      <c r="Q205" s="232">
        <f ca="1">Financeiros!D67</f>
        <v>0</v>
      </c>
    </row>
    <row r="206" spans="1:17" ht="15.75">
      <c r="A206" s="845" t="s">
        <v>694</v>
      </c>
      <c r="B206" s="845" t="s">
        <v>1288</v>
      </c>
      <c r="C206" s="845" t="str">
        <f>Financeiros!C68</f>
        <v>Conta Escassez H. - Importação julho- agosto/2021 - RTA 2022 - Perda Técnica</v>
      </c>
      <c r="D206" s="845">
        <v>2</v>
      </c>
      <c r="E206" s="845">
        <v>2</v>
      </c>
      <c r="F206" s="845">
        <f>Financeiros!H68</f>
        <v>22</v>
      </c>
      <c r="G206" s="845">
        <f>Financeiros!I68</f>
        <v>60</v>
      </c>
      <c r="H206" s="845">
        <f>Financeiros!J68</f>
        <v>240</v>
      </c>
      <c r="I206" s="845">
        <f>Financeiros!K68</f>
        <v>2</v>
      </c>
      <c r="J206" s="845">
        <f>Financeiros!L68</f>
        <v>8</v>
      </c>
      <c r="K206" s="845">
        <f>Financeiros!M68</f>
        <v>9</v>
      </c>
      <c r="L206" s="845">
        <v>99</v>
      </c>
      <c r="M206" s="845">
        <v>9</v>
      </c>
      <c r="N206" s="845">
        <v>3</v>
      </c>
      <c r="O206" s="845">
        <v>99999</v>
      </c>
      <c r="P206" s="907">
        <f t="shared" ca="1" si="6"/>
        <v>0</v>
      </c>
      <c r="Q206" s="232">
        <f ca="1">Financeiros!D68</f>
        <v>0</v>
      </c>
    </row>
    <row r="207" spans="1:17" ht="15.75">
      <c r="A207" s="845" t="s">
        <v>694</v>
      </c>
      <c r="B207" s="845" t="s">
        <v>1288</v>
      </c>
      <c r="C207" s="845" t="str">
        <f>Financeiros!C69</f>
        <v>Conta Escassez H. - Importação julho- agosto/2021 - RTA 2022 - Perda RB Perda RB sobre Dist.</v>
      </c>
      <c r="D207" s="845">
        <v>2</v>
      </c>
      <c r="E207" s="845">
        <v>2</v>
      </c>
      <c r="F207" s="845">
        <f>Financeiros!H69</f>
        <v>22</v>
      </c>
      <c r="G207" s="845">
        <f>Financeiros!I69</f>
        <v>60</v>
      </c>
      <c r="H207" s="845">
        <f>Financeiros!J69</f>
        <v>240</v>
      </c>
      <c r="I207" s="845">
        <f>Financeiros!K69</f>
        <v>2</v>
      </c>
      <c r="J207" s="845">
        <f>Financeiros!L69</f>
        <v>10</v>
      </c>
      <c r="K207" s="845">
        <f>Financeiros!M69</f>
        <v>9</v>
      </c>
      <c r="L207" s="845">
        <v>99</v>
      </c>
      <c r="M207" s="845">
        <v>9</v>
      </c>
      <c r="N207" s="845">
        <v>3</v>
      </c>
      <c r="O207" s="845">
        <v>99999</v>
      </c>
      <c r="P207" s="907">
        <f t="shared" ca="1" si="6"/>
        <v>0</v>
      </c>
      <c r="Q207" s="232">
        <f ca="1">Financeiros!D69</f>
        <v>0</v>
      </c>
    </row>
    <row r="208" spans="1:17" ht="15.75">
      <c r="A208" s="845" t="s">
        <v>694</v>
      </c>
      <c r="B208" s="845" t="s">
        <v>1288</v>
      </c>
      <c r="C208" s="845" t="str">
        <f>Financeiros!C70</f>
        <v>Conta Escassez H. - Importação julho- agosto/2021 - RTA 2022 - Perda RB sobre Merc. Cat.</v>
      </c>
      <c r="D208" s="845">
        <v>2</v>
      </c>
      <c r="E208" s="845">
        <v>2</v>
      </c>
      <c r="F208" s="845">
        <f>Financeiros!H70</f>
        <v>22</v>
      </c>
      <c r="G208" s="845">
        <f>Financeiros!I70</f>
        <v>60</v>
      </c>
      <c r="H208" s="845">
        <f>Financeiros!J70</f>
        <v>240</v>
      </c>
      <c r="I208" s="845">
        <f>Financeiros!K70</f>
        <v>2</v>
      </c>
      <c r="J208" s="845">
        <f>Financeiros!L70</f>
        <v>24</v>
      </c>
      <c r="K208" s="845">
        <f>Financeiros!M70</f>
        <v>9</v>
      </c>
      <c r="L208" s="845">
        <v>99</v>
      </c>
      <c r="M208" s="845">
        <v>9</v>
      </c>
      <c r="N208" s="845">
        <v>3</v>
      </c>
      <c r="O208" s="845">
        <v>99999</v>
      </c>
      <c r="P208" s="907">
        <f t="shared" ca="1" si="6"/>
        <v>0</v>
      </c>
      <c r="Q208" s="232">
        <f ca="1">Financeiros!D70</f>
        <v>0</v>
      </c>
    </row>
    <row r="209" spans="1:17" ht="15.75">
      <c r="A209" s="845" t="s">
        <v>694</v>
      </c>
      <c r="B209" s="845" t="s">
        <v>1288</v>
      </c>
      <c r="C209" s="845" t="str">
        <f>Financeiros!C71</f>
        <v>Conta Escassez H. - Bônus Redução Voluntária</v>
      </c>
      <c r="D209" s="845">
        <v>2</v>
      </c>
      <c r="E209" s="845">
        <v>2</v>
      </c>
      <c r="F209" s="845">
        <f>Financeiros!H71</f>
        <v>22</v>
      </c>
      <c r="G209" s="845">
        <f>Financeiros!I71</f>
        <v>60</v>
      </c>
      <c r="H209" s="845">
        <f>Financeiros!J71</f>
        <v>240</v>
      </c>
      <c r="I209" s="845">
        <f>Financeiros!K71</f>
        <v>3</v>
      </c>
      <c r="J209" s="845">
        <f>Financeiros!L71</f>
        <v>17</v>
      </c>
      <c r="K209" s="845">
        <f>Financeiros!M71</f>
        <v>9</v>
      </c>
      <c r="L209" s="845">
        <v>99</v>
      </c>
      <c r="M209" s="845">
        <v>9</v>
      </c>
      <c r="N209" s="845">
        <v>3</v>
      </c>
      <c r="O209" s="845">
        <v>99999</v>
      </c>
      <c r="P209" s="907">
        <f t="shared" si="6"/>
        <v>0</v>
      </c>
      <c r="Q209" s="232">
        <f>Financeiros!D71</f>
        <v>0</v>
      </c>
    </row>
    <row r="210" spans="1:17" ht="15.75">
      <c r="A210" s="845" t="s">
        <v>694</v>
      </c>
      <c r="B210" s="845" t="s">
        <v>1288</v>
      </c>
      <c r="C210" s="845" t="str">
        <f>Financeiros!C72</f>
        <v>Conta Escassez H. - Diferimento de energia - RTA 2022 - Energia de Revenda</v>
      </c>
      <c r="D210" s="845">
        <v>2</v>
      </c>
      <c r="E210" s="845">
        <v>2</v>
      </c>
      <c r="F210" s="845">
        <f>Financeiros!H72</f>
        <v>22</v>
      </c>
      <c r="G210" s="845">
        <f>Financeiros!I72</f>
        <v>60</v>
      </c>
      <c r="H210" s="845">
        <f>Financeiros!J72</f>
        <v>240</v>
      </c>
      <c r="I210" s="845">
        <f>Financeiros!K72</f>
        <v>2</v>
      </c>
      <c r="J210" s="845">
        <f>Financeiros!L72</f>
        <v>11</v>
      </c>
      <c r="K210" s="845">
        <f>Financeiros!M72</f>
        <v>9</v>
      </c>
      <c r="L210" s="845">
        <v>99</v>
      </c>
      <c r="M210" s="845">
        <v>9</v>
      </c>
      <c r="N210" s="845">
        <v>3</v>
      </c>
      <c r="O210" s="845">
        <v>99999</v>
      </c>
      <c r="P210" s="907">
        <f t="shared" ca="1" si="6"/>
        <v>0</v>
      </c>
      <c r="Q210" s="232">
        <f ca="1">Financeiros!D72</f>
        <v>0</v>
      </c>
    </row>
    <row r="211" spans="1:17" ht="15.75">
      <c r="A211" s="845" t="s">
        <v>694</v>
      </c>
      <c r="B211" s="845" t="s">
        <v>1288</v>
      </c>
      <c r="C211" s="845" t="str">
        <f>Financeiros!C73</f>
        <v>Conta Escassez H. - Diferimento de energia - RTA 2022 - Perda Não Técnica</v>
      </c>
      <c r="D211" s="845">
        <v>2</v>
      </c>
      <c r="E211" s="845">
        <v>2</v>
      </c>
      <c r="F211" s="845">
        <f>Financeiros!H73</f>
        <v>22</v>
      </c>
      <c r="G211" s="845">
        <f>Financeiros!I73</f>
        <v>60</v>
      </c>
      <c r="H211" s="845">
        <f>Financeiros!J73</f>
        <v>240</v>
      </c>
      <c r="I211" s="845">
        <f>Financeiros!K73</f>
        <v>2</v>
      </c>
      <c r="J211" s="845">
        <f>Financeiros!L73</f>
        <v>9</v>
      </c>
      <c r="K211" s="845">
        <f>Financeiros!M73</f>
        <v>9</v>
      </c>
      <c r="L211" s="845">
        <v>99</v>
      </c>
      <c r="M211" s="845">
        <v>9</v>
      </c>
      <c r="N211" s="845">
        <v>3</v>
      </c>
      <c r="O211" s="845">
        <v>99999</v>
      </c>
      <c r="P211" s="907">
        <f t="shared" ca="1" si="6"/>
        <v>0</v>
      </c>
      <c r="Q211" s="232">
        <f ca="1">Financeiros!D73</f>
        <v>0</v>
      </c>
    </row>
    <row r="212" spans="1:17" ht="15.75">
      <c r="A212" s="845" t="s">
        <v>694</v>
      </c>
      <c r="B212" s="845" t="s">
        <v>1288</v>
      </c>
      <c r="C212" s="845" t="str">
        <f>Financeiros!C74</f>
        <v>Conta Escassez H. - Diferimento de energia - RTA 2022 - Perda Técnica</v>
      </c>
      <c r="D212" s="845">
        <v>2</v>
      </c>
      <c r="E212" s="845">
        <v>2</v>
      </c>
      <c r="F212" s="845">
        <f>Financeiros!H74</f>
        <v>22</v>
      </c>
      <c r="G212" s="845">
        <f>Financeiros!I74</f>
        <v>60</v>
      </c>
      <c r="H212" s="845">
        <f>Financeiros!J74</f>
        <v>240</v>
      </c>
      <c r="I212" s="845">
        <f>Financeiros!K74</f>
        <v>2</v>
      </c>
      <c r="J212" s="845">
        <f>Financeiros!L74</f>
        <v>8</v>
      </c>
      <c r="K212" s="845">
        <f>Financeiros!M74</f>
        <v>9</v>
      </c>
      <c r="L212" s="845">
        <v>99</v>
      </c>
      <c r="M212" s="845">
        <v>9</v>
      </c>
      <c r="N212" s="845">
        <v>3</v>
      </c>
      <c r="O212" s="845">
        <v>99999</v>
      </c>
      <c r="P212" s="907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5" t="s">
        <v>694</v>
      </c>
      <c r="B213" s="845" t="s">
        <v>1288</v>
      </c>
      <c r="C213" s="845" t="str">
        <f>Financeiros!C75</f>
        <v>Conta Escassez H. - Diferimento de energia - RTA 2022 - Perda RB Perda RB sobre Dist.</v>
      </c>
      <c r="D213" s="845">
        <v>2</v>
      </c>
      <c r="E213" s="845">
        <v>2</v>
      </c>
      <c r="F213" s="845">
        <f>Financeiros!H75</f>
        <v>22</v>
      </c>
      <c r="G213" s="845">
        <f>Financeiros!I75</f>
        <v>60</v>
      </c>
      <c r="H213" s="845">
        <f>Financeiros!J75</f>
        <v>240</v>
      </c>
      <c r="I213" s="845">
        <f>Financeiros!K75</f>
        <v>2</v>
      </c>
      <c r="J213" s="845">
        <f>Financeiros!L75</f>
        <v>10</v>
      </c>
      <c r="K213" s="845">
        <f>Financeiros!M75</f>
        <v>9</v>
      </c>
      <c r="L213" s="845">
        <v>99</v>
      </c>
      <c r="M213" s="845">
        <v>9</v>
      </c>
      <c r="N213" s="845">
        <v>3</v>
      </c>
      <c r="O213" s="845">
        <v>99999</v>
      </c>
      <c r="P213" s="907">
        <f t="shared" ca="1" si="7"/>
        <v>0</v>
      </c>
      <c r="Q213" s="232">
        <f ca="1">Financeiros!D75</f>
        <v>0</v>
      </c>
    </row>
    <row r="214" spans="1:17" ht="15.75">
      <c r="A214" s="845" t="s">
        <v>694</v>
      </c>
      <c r="B214" s="845" t="s">
        <v>1288</v>
      </c>
      <c r="C214" s="845" t="str">
        <f>Financeiros!C76</f>
        <v>Conta Escassez H. - Diferimento de energia - RTA 2022 - Perda RB sobre Merc. Cat.</v>
      </c>
      <c r="D214" s="845">
        <v>2</v>
      </c>
      <c r="E214" s="845">
        <v>2</v>
      </c>
      <c r="F214" s="845">
        <f>Financeiros!H76</f>
        <v>22</v>
      </c>
      <c r="G214" s="845">
        <f>Financeiros!I76</f>
        <v>60</v>
      </c>
      <c r="H214" s="845">
        <f>Financeiros!J76</f>
        <v>240</v>
      </c>
      <c r="I214" s="845">
        <f>Financeiros!K76</f>
        <v>2</v>
      </c>
      <c r="J214" s="845">
        <f>Financeiros!L76</f>
        <v>24</v>
      </c>
      <c r="K214" s="845">
        <f>Financeiros!M76</f>
        <v>9</v>
      </c>
      <c r="L214" s="845">
        <v>99</v>
      </c>
      <c r="M214" s="845">
        <v>9</v>
      </c>
      <c r="N214" s="845">
        <v>3</v>
      </c>
      <c r="O214" s="845">
        <v>99999</v>
      </c>
      <c r="P214" s="907">
        <f t="shared" ca="1" si="7"/>
        <v>0</v>
      </c>
      <c r="Q214" s="232">
        <f ca="1">Financeiros!D76</f>
        <v>0</v>
      </c>
    </row>
    <row r="215" spans="1:17" ht="15.75">
      <c r="A215" s="845" t="s">
        <v>694</v>
      </c>
      <c r="B215" s="845" t="s">
        <v>1288</v>
      </c>
      <c r="C215" s="845" t="str">
        <f>Financeiros!C77</f>
        <v>Sobrecontratação/Exposição de Energia - Energia de Revenda</v>
      </c>
      <c r="D215" s="845">
        <v>2</v>
      </c>
      <c r="E215" s="845">
        <v>2</v>
      </c>
      <c r="F215" s="845">
        <f>Financeiros!H77</f>
        <v>22</v>
      </c>
      <c r="G215" s="845">
        <f>Financeiros!I77</f>
        <v>60</v>
      </c>
      <c r="H215" s="845">
        <f>Financeiros!J77</f>
        <v>106</v>
      </c>
      <c r="I215" s="845">
        <f>Financeiros!K77</f>
        <v>2</v>
      </c>
      <c r="J215" s="845">
        <f>Financeiros!L77</f>
        <v>11</v>
      </c>
      <c r="K215" s="845">
        <f>Financeiros!M77</f>
        <v>9</v>
      </c>
      <c r="L215" s="845">
        <v>99</v>
      </c>
      <c r="M215" s="845">
        <v>9</v>
      </c>
      <c r="N215" s="845">
        <v>3</v>
      </c>
      <c r="O215" s="845">
        <v>99999</v>
      </c>
      <c r="P215" s="907">
        <f t="shared" ca="1" si="7"/>
        <v>0</v>
      </c>
      <c r="Q215" s="232">
        <f ca="1">Financeiros!D77</f>
        <v>0</v>
      </c>
    </row>
    <row r="216" spans="1:17" ht="15.75">
      <c r="A216" s="845" t="s">
        <v>694</v>
      </c>
      <c r="B216" s="845" t="s">
        <v>1288</v>
      </c>
      <c r="C216" s="845" t="str">
        <f>Financeiros!C78</f>
        <v>Sobrecontratação/Exposição de Energia - Perda Não Técnica</v>
      </c>
      <c r="D216" s="845">
        <v>2</v>
      </c>
      <c r="E216" s="845">
        <v>2</v>
      </c>
      <c r="F216" s="845">
        <f>Financeiros!H78</f>
        <v>22</v>
      </c>
      <c r="G216" s="845">
        <f>Financeiros!I78</f>
        <v>60</v>
      </c>
      <c r="H216" s="845">
        <f>Financeiros!J78</f>
        <v>106</v>
      </c>
      <c r="I216" s="845">
        <f>Financeiros!K78</f>
        <v>2</v>
      </c>
      <c r="J216" s="845">
        <f>Financeiros!L78</f>
        <v>9</v>
      </c>
      <c r="K216" s="845">
        <f>Financeiros!M78</f>
        <v>9</v>
      </c>
      <c r="L216" s="845">
        <v>99</v>
      </c>
      <c r="M216" s="845">
        <v>9</v>
      </c>
      <c r="N216" s="845">
        <v>3</v>
      </c>
      <c r="O216" s="845">
        <v>99999</v>
      </c>
      <c r="P216" s="907">
        <f t="shared" ca="1" si="7"/>
        <v>0</v>
      </c>
      <c r="Q216" s="232">
        <f ca="1">Financeiros!D78</f>
        <v>0</v>
      </c>
    </row>
    <row r="217" spans="1:17" ht="15.75">
      <c r="A217" s="845" t="s">
        <v>694</v>
      </c>
      <c r="B217" s="845" t="s">
        <v>1288</v>
      </c>
      <c r="C217" s="845" t="str">
        <f>Financeiros!C79</f>
        <v>Sobrecontratação/Exposição de Energia - Perda Técnica</v>
      </c>
      <c r="D217" s="845">
        <v>2</v>
      </c>
      <c r="E217" s="845">
        <v>2</v>
      </c>
      <c r="F217" s="845">
        <f>Financeiros!H79</f>
        <v>22</v>
      </c>
      <c r="G217" s="845">
        <f>Financeiros!I79</f>
        <v>60</v>
      </c>
      <c r="H217" s="845">
        <f>Financeiros!J79</f>
        <v>106</v>
      </c>
      <c r="I217" s="845">
        <f>Financeiros!K79</f>
        <v>2</v>
      </c>
      <c r="J217" s="845">
        <f>Financeiros!L79</f>
        <v>8</v>
      </c>
      <c r="K217" s="845">
        <f>Financeiros!M79</f>
        <v>9</v>
      </c>
      <c r="L217" s="845">
        <v>99</v>
      </c>
      <c r="M217" s="845">
        <v>9</v>
      </c>
      <c r="N217" s="845">
        <v>3</v>
      </c>
      <c r="O217" s="845">
        <v>99999</v>
      </c>
      <c r="P217" s="907">
        <f t="shared" ca="1" si="7"/>
        <v>0</v>
      </c>
      <c r="Q217" s="232">
        <f ca="1">Financeiros!D79</f>
        <v>0</v>
      </c>
    </row>
    <row r="218" spans="1:17" ht="15.75">
      <c r="A218" s="845" t="s">
        <v>694</v>
      </c>
      <c r="B218" s="845" t="s">
        <v>1288</v>
      </c>
      <c r="C218" s="845" t="str">
        <f>Financeiros!C80</f>
        <v>Sobrecontratação/Exposição de Energia - Perda Rede Básica sobre Dist.</v>
      </c>
      <c r="D218" s="845">
        <v>2</v>
      </c>
      <c r="E218" s="845">
        <v>2</v>
      </c>
      <c r="F218" s="845">
        <f>Financeiros!H80</f>
        <v>22</v>
      </c>
      <c r="G218" s="845">
        <f>Financeiros!I80</f>
        <v>60</v>
      </c>
      <c r="H218" s="845">
        <f>Financeiros!J80</f>
        <v>106</v>
      </c>
      <c r="I218" s="845">
        <f>Financeiros!K80</f>
        <v>2</v>
      </c>
      <c r="J218" s="845">
        <f>Financeiros!L80</f>
        <v>10</v>
      </c>
      <c r="K218" s="845">
        <f>Financeiros!M80</f>
        <v>9</v>
      </c>
      <c r="L218" s="845">
        <v>99</v>
      </c>
      <c r="M218" s="845">
        <v>9</v>
      </c>
      <c r="N218" s="845">
        <v>3</v>
      </c>
      <c r="O218" s="845">
        <v>99999</v>
      </c>
      <c r="P218" s="907">
        <f t="shared" ca="1" si="7"/>
        <v>0</v>
      </c>
      <c r="Q218" s="232">
        <f ca="1">Financeiros!D80</f>
        <v>0</v>
      </c>
    </row>
    <row r="219" spans="1:17" ht="15.75">
      <c r="A219" s="845" t="s">
        <v>694</v>
      </c>
      <c r="B219" s="845" t="s">
        <v>1288</v>
      </c>
      <c r="C219" s="845" t="str">
        <f>Financeiros!C81</f>
        <v>Sobrecontratação/Exposição de Energia - Perda Rede Básica sobre mercado Cat.</v>
      </c>
      <c r="D219" s="845">
        <v>2</v>
      </c>
      <c r="E219" s="845">
        <v>2</v>
      </c>
      <c r="F219" s="845">
        <f>Financeiros!H81</f>
        <v>22</v>
      </c>
      <c r="G219" s="845">
        <f>Financeiros!I81</f>
        <v>60</v>
      </c>
      <c r="H219" s="845">
        <f>Financeiros!J81</f>
        <v>106</v>
      </c>
      <c r="I219" s="845">
        <f>Financeiros!K81</f>
        <v>2</v>
      </c>
      <c r="J219" s="845">
        <f>Financeiros!L81</f>
        <v>24</v>
      </c>
      <c r="K219" s="845">
        <f>Financeiros!M81</f>
        <v>9</v>
      </c>
      <c r="L219" s="845">
        <v>99</v>
      </c>
      <c r="M219" s="845">
        <v>9</v>
      </c>
      <c r="N219" s="845">
        <v>3</v>
      </c>
      <c r="O219" s="845">
        <v>99999</v>
      </c>
      <c r="P219" s="907">
        <f t="shared" ca="1" si="7"/>
        <v>0</v>
      </c>
      <c r="Q219" s="232">
        <f ca="1">Financeiros!D81</f>
        <v>0</v>
      </c>
    </row>
    <row r="220" spans="1:17" ht="15.75">
      <c r="A220" s="845" t="s">
        <v>694</v>
      </c>
      <c r="B220" s="845" t="s">
        <v>1288</v>
      </c>
      <c r="C220" s="845" t="str">
        <f>Financeiros!C82</f>
        <v>Reversão de Risco Hidrológico - Energia de Revenda</v>
      </c>
      <c r="D220" s="845">
        <v>2</v>
      </c>
      <c r="E220" s="845">
        <v>2</v>
      </c>
      <c r="F220" s="845">
        <f>Financeiros!H82</f>
        <v>22</v>
      </c>
      <c r="G220" s="845">
        <f>Financeiros!I82</f>
        <v>62</v>
      </c>
      <c r="H220" s="845">
        <f>Financeiros!J82</f>
        <v>220</v>
      </c>
      <c r="I220" s="845">
        <f>Financeiros!K82</f>
        <v>2</v>
      </c>
      <c r="J220" s="845">
        <f>Financeiros!L82</f>
        <v>11</v>
      </c>
      <c r="K220" s="845">
        <f>Financeiros!M82</f>
        <v>9</v>
      </c>
      <c r="L220" s="845">
        <v>99</v>
      </c>
      <c r="M220" s="845">
        <v>9</v>
      </c>
      <c r="N220" s="845">
        <v>3</v>
      </c>
      <c r="O220" s="845">
        <v>99999</v>
      </c>
      <c r="P220" s="907">
        <f t="shared" ca="1" si="7"/>
        <v>0</v>
      </c>
      <c r="Q220" s="232">
        <f ca="1">Financeiros!D82</f>
        <v>0</v>
      </c>
    </row>
    <row r="221" spans="1:17" ht="15.75">
      <c r="A221" s="845" t="s">
        <v>694</v>
      </c>
      <c r="B221" s="845" t="s">
        <v>1288</v>
      </c>
      <c r="C221" s="845" t="str">
        <f>Financeiros!C83</f>
        <v>Reversão de Risco Hidrológico - Perda Não Técnica</v>
      </c>
      <c r="D221" s="845">
        <v>2</v>
      </c>
      <c r="E221" s="845">
        <v>2</v>
      </c>
      <c r="F221" s="845">
        <f>Financeiros!H83</f>
        <v>22</v>
      </c>
      <c r="G221" s="845">
        <f>Financeiros!I83</f>
        <v>62</v>
      </c>
      <c r="H221" s="845">
        <f>Financeiros!J83</f>
        <v>220</v>
      </c>
      <c r="I221" s="845">
        <f>Financeiros!K83</f>
        <v>2</v>
      </c>
      <c r="J221" s="845">
        <f>Financeiros!L83</f>
        <v>9</v>
      </c>
      <c r="K221" s="845">
        <f>Financeiros!M83</f>
        <v>9</v>
      </c>
      <c r="L221" s="845">
        <v>99</v>
      </c>
      <c r="M221" s="845">
        <v>9</v>
      </c>
      <c r="N221" s="845">
        <v>3</v>
      </c>
      <c r="O221" s="845">
        <v>99999</v>
      </c>
      <c r="P221" s="907">
        <f t="shared" ca="1" si="7"/>
        <v>0</v>
      </c>
      <c r="Q221" s="232">
        <f ca="1">Financeiros!D83</f>
        <v>0</v>
      </c>
    </row>
    <row r="222" spans="1:17" ht="15.75">
      <c r="A222" s="845" t="s">
        <v>694</v>
      </c>
      <c r="B222" s="845" t="s">
        <v>1288</v>
      </c>
      <c r="C222" s="845" t="str">
        <f>Financeiros!C84</f>
        <v>Reversão de Risco Hidrológico - Perda Técnica</v>
      </c>
      <c r="D222" s="845">
        <v>2</v>
      </c>
      <c r="E222" s="845">
        <v>2</v>
      </c>
      <c r="F222" s="845">
        <f>Financeiros!H84</f>
        <v>22</v>
      </c>
      <c r="G222" s="845">
        <f>Financeiros!I84</f>
        <v>62</v>
      </c>
      <c r="H222" s="845">
        <f>Financeiros!J84</f>
        <v>220</v>
      </c>
      <c r="I222" s="845">
        <f>Financeiros!K84</f>
        <v>2</v>
      </c>
      <c r="J222" s="845">
        <f>Financeiros!L84</f>
        <v>8</v>
      </c>
      <c r="K222" s="845">
        <f>Financeiros!M84</f>
        <v>9</v>
      </c>
      <c r="L222" s="845">
        <v>99</v>
      </c>
      <c r="M222" s="845">
        <v>9</v>
      </c>
      <c r="N222" s="845">
        <v>3</v>
      </c>
      <c r="O222" s="845">
        <v>99999</v>
      </c>
      <c r="P222" s="907">
        <f t="shared" ca="1" si="7"/>
        <v>0</v>
      </c>
      <c r="Q222" s="232">
        <f ca="1">Financeiros!D84</f>
        <v>0</v>
      </c>
    </row>
    <row r="223" spans="1:17" ht="15.75">
      <c r="A223" s="845" t="s">
        <v>694</v>
      </c>
      <c r="B223" s="845" t="s">
        <v>1288</v>
      </c>
      <c r="C223" s="845" t="str">
        <f>Financeiros!C85</f>
        <v>Reversão de Risco Hidrológico - Perda Rede Básica sobre Dist.</v>
      </c>
      <c r="D223" s="845">
        <v>2</v>
      </c>
      <c r="E223" s="845">
        <v>2</v>
      </c>
      <c r="F223" s="845">
        <f>Financeiros!H85</f>
        <v>22</v>
      </c>
      <c r="G223" s="845">
        <f>Financeiros!I85</f>
        <v>62</v>
      </c>
      <c r="H223" s="845">
        <f>Financeiros!J85</f>
        <v>220</v>
      </c>
      <c r="I223" s="845">
        <f>Financeiros!K85</f>
        <v>2</v>
      </c>
      <c r="J223" s="845">
        <f>Financeiros!L85</f>
        <v>10</v>
      </c>
      <c r="K223" s="845">
        <f>Financeiros!M85</f>
        <v>9</v>
      </c>
      <c r="L223" s="845">
        <v>99</v>
      </c>
      <c r="M223" s="845">
        <v>9</v>
      </c>
      <c r="N223" s="845">
        <v>3</v>
      </c>
      <c r="O223" s="845">
        <v>99999</v>
      </c>
      <c r="P223" s="907">
        <f t="shared" ca="1" si="7"/>
        <v>0</v>
      </c>
      <c r="Q223" s="232">
        <f ca="1">Financeiros!D85</f>
        <v>0</v>
      </c>
    </row>
    <row r="224" spans="1:17" ht="15.75">
      <c r="A224" s="845" t="s">
        <v>694</v>
      </c>
      <c r="B224" s="845" t="s">
        <v>1288</v>
      </c>
      <c r="C224" s="845" t="str">
        <f>Financeiros!C86</f>
        <v>Reversão de Risco Hidrológico - Perda Rede Básica sobre mercado Cat.</v>
      </c>
      <c r="D224" s="845">
        <v>2</v>
      </c>
      <c r="E224" s="845">
        <v>2</v>
      </c>
      <c r="F224" s="845">
        <f>Financeiros!H86</f>
        <v>22</v>
      </c>
      <c r="G224" s="845">
        <f>Financeiros!I86</f>
        <v>62</v>
      </c>
      <c r="H224" s="845">
        <f>Financeiros!J86</f>
        <v>220</v>
      </c>
      <c r="I224" s="845">
        <f>Financeiros!K86</f>
        <v>2</v>
      </c>
      <c r="J224" s="845">
        <f>Financeiros!L86</f>
        <v>24</v>
      </c>
      <c r="K224" s="845">
        <f>Financeiros!M86</f>
        <v>9</v>
      </c>
      <c r="L224" s="845">
        <v>99</v>
      </c>
      <c r="M224" s="845">
        <v>9</v>
      </c>
      <c r="N224" s="845">
        <v>3</v>
      </c>
      <c r="O224" s="845">
        <v>99999</v>
      </c>
      <c r="P224" s="907">
        <f t="shared" ca="1" si="7"/>
        <v>0</v>
      </c>
      <c r="Q224" s="232">
        <f ca="1">Financeiros!D86</f>
        <v>0</v>
      </c>
    </row>
    <row r="225" spans="1:17" ht="15.75">
      <c r="A225" s="845" t="s">
        <v>694</v>
      </c>
      <c r="B225" s="845" t="s">
        <v>1288</v>
      </c>
      <c r="C225" s="845" t="str">
        <f>Financeiros!C87</f>
        <v>Previsão de Risco Hidrologico - Energia de Revenda</v>
      </c>
      <c r="D225" s="845">
        <v>2</v>
      </c>
      <c r="E225" s="845">
        <v>2</v>
      </c>
      <c r="F225" s="845">
        <f>Financeiros!H87</f>
        <v>22</v>
      </c>
      <c r="G225" s="845">
        <f>Financeiros!I87</f>
        <v>60</v>
      </c>
      <c r="H225" s="845">
        <f>Financeiros!J87</f>
        <v>220</v>
      </c>
      <c r="I225" s="845">
        <f>Financeiros!K87</f>
        <v>2</v>
      </c>
      <c r="J225" s="845">
        <f>Financeiros!L87</f>
        <v>11</v>
      </c>
      <c r="K225" s="845">
        <f>Financeiros!M87</f>
        <v>9</v>
      </c>
      <c r="L225" s="845">
        <v>99</v>
      </c>
      <c r="M225" s="845">
        <v>9</v>
      </c>
      <c r="N225" s="845">
        <v>3</v>
      </c>
      <c r="O225" s="845">
        <v>99999</v>
      </c>
      <c r="P225" s="907">
        <f t="shared" ca="1" si="7"/>
        <v>0</v>
      </c>
      <c r="Q225" s="232">
        <f ca="1">Financeiros!D87</f>
        <v>0</v>
      </c>
    </row>
    <row r="226" spans="1:17" ht="15.75">
      <c r="A226" s="845" t="s">
        <v>694</v>
      </c>
      <c r="B226" s="845" t="s">
        <v>1288</v>
      </c>
      <c r="C226" s="845" t="str">
        <f>Financeiros!C88</f>
        <v>Previsão de Risco Hidrologico - Perda Não Técnica</v>
      </c>
      <c r="D226" s="845">
        <v>2</v>
      </c>
      <c r="E226" s="845">
        <v>2</v>
      </c>
      <c r="F226" s="845">
        <f>Financeiros!H88</f>
        <v>22</v>
      </c>
      <c r="G226" s="845">
        <f>Financeiros!I88</f>
        <v>60</v>
      </c>
      <c r="H226" s="845">
        <f>Financeiros!J88</f>
        <v>220</v>
      </c>
      <c r="I226" s="845">
        <f>Financeiros!K88</f>
        <v>2</v>
      </c>
      <c r="J226" s="845">
        <f>Financeiros!L88</f>
        <v>9</v>
      </c>
      <c r="K226" s="845">
        <f>Financeiros!M88</f>
        <v>9</v>
      </c>
      <c r="L226" s="845">
        <v>99</v>
      </c>
      <c r="M226" s="845">
        <v>9</v>
      </c>
      <c r="N226" s="845">
        <v>3</v>
      </c>
      <c r="O226" s="845">
        <v>99999</v>
      </c>
      <c r="P226" s="907">
        <f t="shared" ca="1" si="7"/>
        <v>0</v>
      </c>
      <c r="Q226" s="232">
        <f ca="1">Financeiros!D88</f>
        <v>0</v>
      </c>
    </row>
    <row r="227" spans="1:17" ht="15.75">
      <c r="A227" s="845" t="s">
        <v>694</v>
      </c>
      <c r="B227" s="845" t="s">
        <v>1288</v>
      </c>
      <c r="C227" s="845" t="str">
        <f>Financeiros!C89</f>
        <v>Previsão de Risco Hidrologico - Perda Técnica</v>
      </c>
      <c r="D227" s="845">
        <v>2</v>
      </c>
      <c r="E227" s="845">
        <v>2</v>
      </c>
      <c r="F227" s="845">
        <f>Financeiros!H89</f>
        <v>22</v>
      </c>
      <c r="G227" s="845">
        <f>Financeiros!I89</f>
        <v>60</v>
      </c>
      <c r="H227" s="845">
        <f>Financeiros!J89</f>
        <v>220</v>
      </c>
      <c r="I227" s="845">
        <f>Financeiros!K89</f>
        <v>2</v>
      </c>
      <c r="J227" s="845">
        <f>Financeiros!L89</f>
        <v>8</v>
      </c>
      <c r="K227" s="845">
        <f>Financeiros!M89</f>
        <v>9</v>
      </c>
      <c r="L227" s="845">
        <v>99</v>
      </c>
      <c r="M227" s="845">
        <v>9</v>
      </c>
      <c r="N227" s="845">
        <v>3</v>
      </c>
      <c r="O227" s="845">
        <v>99999</v>
      </c>
      <c r="P227" s="907">
        <f t="shared" ca="1" si="7"/>
        <v>0</v>
      </c>
      <c r="Q227" s="232">
        <f ca="1">Financeiros!D89</f>
        <v>0</v>
      </c>
    </row>
    <row r="228" spans="1:17" ht="15.75">
      <c r="A228" s="845" t="s">
        <v>694</v>
      </c>
      <c r="B228" s="845" t="s">
        <v>1288</v>
      </c>
      <c r="C228" s="845" t="str">
        <f>Financeiros!C90</f>
        <v>Previsão de Risco Hidrologico - Perda Rede Básica sobre Dist.</v>
      </c>
      <c r="D228" s="845">
        <v>2</v>
      </c>
      <c r="E228" s="845">
        <v>2</v>
      </c>
      <c r="F228" s="845">
        <f>Financeiros!H90</f>
        <v>22</v>
      </c>
      <c r="G228" s="845">
        <f>Financeiros!I90</f>
        <v>60</v>
      </c>
      <c r="H228" s="845">
        <f>Financeiros!J90</f>
        <v>220</v>
      </c>
      <c r="I228" s="845">
        <f>Financeiros!K90</f>
        <v>2</v>
      </c>
      <c r="J228" s="845">
        <f>Financeiros!L90</f>
        <v>10</v>
      </c>
      <c r="K228" s="845">
        <f>Financeiros!M90</f>
        <v>9</v>
      </c>
      <c r="L228" s="845">
        <v>99</v>
      </c>
      <c r="M228" s="845">
        <v>9</v>
      </c>
      <c r="N228" s="845">
        <v>3</v>
      </c>
      <c r="O228" s="845">
        <v>99999</v>
      </c>
      <c r="P228" s="907">
        <f t="shared" ca="1" si="7"/>
        <v>0</v>
      </c>
      <c r="Q228" s="232">
        <f ca="1">Financeiros!D90</f>
        <v>0</v>
      </c>
    </row>
    <row r="229" spans="1:17" ht="15.75">
      <c r="A229" s="845" t="s">
        <v>694</v>
      </c>
      <c r="B229" s="845" t="s">
        <v>1288</v>
      </c>
      <c r="C229" s="845" t="str">
        <f>Financeiros!C91</f>
        <v>Previsão de Risco Hidrologico - Perda Rede Básica sobre mercado Cat.</v>
      </c>
      <c r="D229" s="845">
        <v>2</v>
      </c>
      <c r="E229" s="845">
        <v>2</v>
      </c>
      <c r="F229" s="845">
        <f>Financeiros!H91</f>
        <v>22</v>
      </c>
      <c r="G229" s="845">
        <f>Financeiros!I91</f>
        <v>60</v>
      </c>
      <c r="H229" s="845">
        <f>Financeiros!J91</f>
        <v>220</v>
      </c>
      <c r="I229" s="845">
        <f>Financeiros!K91</f>
        <v>2</v>
      </c>
      <c r="J229" s="845">
        <f>Financeiros!L91</f>
        <v>24</v>
      </c>
      <c r="K229" s="845">
        <f>Financeiros!M91</f>
        <v>9</v>
      </c>
      <c r="L229" s="845">
        <v>99</v>
      </c>
      <c r="M229" s="845">
        <v>9</v>
      </c>
      <c r="N229" s="845">
        <v>3</v>
      </c>
      <c r="O229" s="845">
        <v>99999</v>
      </c>
      <c r="P229" s="907">
        <f t="shared" ca="1" si="7"/>
        <v>0</v>
      </c>
      <c r="Q229" s="232">
        <f ca="1">Financeiros!D91</f>
        <v>0</v>
      </c>
    </row>
    <row r="230" spans="1:17" ht="15.75">
      <c r="A230" s="845" t="s">
        <v>694</v>
      </c>
      <c r="B230" s="845" t="s">
        <v>1288</v>
      </c>
      <c r="C230" s="845" t="str">
        <f>Financeiros!C92</f>
        <v>Diferimento da Previsão de Risco Hidrologico - Energia de Revenda</v>
      </c>
      <c r="D230" s="845">
        <v>2</v>
      </c>
      <c r="E230" s="845">
        <v>2</v>
      </c>
      <c r="F230" s="845">
        <v>999</v>
      </c>
      <c r="G230" s="845">
        <v>999999</v>
      </c>
      <c r="H230" s="845">
        <v>999</v>
      </c>
      <c r="I230" s="845">
        <v>99</v>
      </c>
      <c r="J230" s="845">
        <v>999</v>
      </c>
      <c r="K230" s="845">
        <v>9</v>
      </c>
      <c r="L230" s="845">
        <v>99</v>
      </c>
      <c r="M230" s="845">
        <v>9</v>
      </c>
      <c r="N230" s="845">
        <v>3</v>
      </c>
      <c r="O230" s="845">
        <v>99999</v>
      </c>
      <c r="P230" s="907">
        <f t="shared" si="7"/>
        <v>0</v>
      </c>
      <c r="Q230" s="232">
        <f>Financeiros!D92</f>
        <v>0</v>
      </c>
    </row>
    <row r="231" spans="1:17" ht="15.75">
      <c r="A231" s="845" t="s">
        <v>694</v>
      </c>
      <c r="B231" s="845" t="s">
        <v>1288</v>
      </c>
      <c r="C231" s="845" t="str">
        <f>Financeiros!C93</f>
        <v>Diferimento da Previsão de Risco Hidrologico - Perda Não Técnica</v>
      </c>
      <c r="D231" s="845">
        <v>2</v>
      </c>
      <c r="E231" s="845">
        <v>2</v>
      </c>
      <c r="F231" s="845">
        <v>999</v>
      </c>
      <c r="G231" s="845">
        <v>999999</v>
      </c>
      <c r="H231" s="845">
        <v>999</v>
      </c>
      <c r="I231" s="845">
        <v>99</v>
      </c>
      <c r="J231" s="845">
        <v>999</v>
      </c>
      <c r="K231" s="845">
        <v>9</v>
      </c>
      <c r="L231" s="845">
        <v>99</v>
      </c>
      <c r="M231" s="845">
        <v>9</v>
      </c>
      <c r="N231" s="845">
        <v>3</v>
      </c>
      <c r="O231" s="845">
        <v>99999</v>
      </c>
      <c r="P231" s="907">
        <f t="shared" si="7"/>
        <v>0</v>
      </c>
      <c r="Q231" s="232">
        <f>Financeiros!D93</f>
        <v>0</v>
      </c>
    </row>
    <row r="232" spans="1:17" ht="15.75">
      <c r="A232" s="845" t="s">
        <v>694</v>
      </c>
      <c r="B232" s="845" t="s">
        <v>1288</v>
      </c>
      <c r="C232" s="845" t="str">
        <f>Financeiros!C94</f>
        <v>Diferimento da Previsão de Risco Hidrologico - Perda Técnica</v>
      </c>
      <c r="D232" s="845">
        <v>2</v>
      </c>
      <c r="E232" s="845">
        <v>2</v>
      </c>
      <c r="F232" s="845">
        <v>999</v>
      </c>
      <c r="G232" s="845">
        <v>999999</v>
      </c>
      <c r="H232" s="845">
        <v>999</v>
      </c>
      <c r="I232" s="845">
        <v>99</v>
      </c>
      <c r="J232" s="845">
        <v>999</v>
      </c>
      <c r="K232" s="845">
        <v>9</v>
      </c>
      <c r="L232" s="845">
        <v>99</v>
      </c>
      <c r="M232" s="845">
        <v>9</v>
      </c>
      <c r="N232" s="845">
        <v>3</v>
      </c>
      <c r="O232" s="845">
        <v>99999</v>
      </c>
      <c r="P232" s="907">
        <f t="shared" si="7"/>
        <v>0</v>
      </c>
      <c r="Q232" s="232">
        <f>Financeiros!D94</f>
        <v>0</v>
      </c>
    </row>
    <row r="233" spans="1:17" ht="15.75">
      <c r="A233" s="845" t="s">
        <v>694</v>
      </c>
      <c r="B233" s="845" t="s">
        <v>1288</v>
      </c>
      <c r="C233" s="845" t="str">
        <f>Financeiros!C95</f>
        <v>Diferimento da Previsão de Risco Hidrologico - Perda Rede Básica sobre Dist.</v>
      </c>
      <c r="D233" s="845">
        <v>2</v>
      </c>
      <c r="E233" s="845">
        <v>2</v>
      </c>
      <c r="F233" s="845">
        <v>999</v>
      </c>
      <c r="G233" s="845">
        <v>999999</v>
      </c>
      <c r="H233" s="845">
        <v>999</v>
      </c>
      <c r="I233" s="845">
        <v>99</v>
      </c>
      <c r="J233" s="845">
        <v>999</v>
      </c>
      <c r="K233" s="845">
        <v>9</v>
      </c>
      <c r="L233" s="845">
        <v>99</v>
      </c>
      <c r="M233" s="845">
        <v>9</v>
      </c>
      <c r="N233" s="845">
        <v>3</v>
      </c>
      <c r="O233" s="845">
        <v>99999</v>
      </c>
      <c r="P233" s="907">
        <f t="shared" si="7"/>
        <v>0</v>
      </c>
      <c r="Q233" s="232">
        <f>Financeiros!D95</f>
        <v>0</v>
      </c>
    </row>
    <row r="234" spans="1:17" ht="15.75">
      <c r="A234" s="845" t="s">
        <v>694</v>
      </c>
      <c r="B234" s="845" t="s">
        <v>1288</v>
      </c>
      <c r="C234" s="845" t="str">
        <f>Financeiros!C96</f>
        <v>Diferimento da Previsão de Risco Hidrologico - Perda Rede Básica sobre mercado Cat.</v>
      </c>
      <c r="D234" s="845">
        <v>2</v>
      </c>
      <c r="E234" s="845">
        <v>2</v>
      </c>
      <c r="F234" s="845">
        <v>999</v>
      </c>
      <c r="G234" s="845">
        <v>999999</v>
      </c>
      <c r="H234" s="845">
        <v>999</v>
      </c>
      <c r="I234" s="845">
        <v>99</v>
      </c>
      <c r="J234" s="845">
        <v>999</v>
      </c>
      <c r="K234" s="845">
        <v>9</v>
      </c>
      <c r="L234" s="845">
        <v>99</v>
      </c>
      <c r="M234" s="845">
        <v>9</v>
      </c>
      <c r="N234" s="845">
        <v>3</v>
      </c>
      <c r="O234" s="845">
        <v>99999</v>
      </c>
      <c r="P234" s="907">
        <f t="shared" si="7"/>
        <v>0</v>
      </c>
      <c r="Q234" s="232">
        <f>Financeiros!D96</f>
        <v>0</v>
      </c>
    </row>
    <row r="235" spans="1:17" ht="15.75">
      <c r="A235" s="845" t="s">
        <v>694</v>
      </c>
      <c r="B235" s="845" t="s">
        <v>1288</v>
      </c>
      <c r="C235" s="845" t="str">
        <f>Financeiros!C97</f>
        <v>Diferimento Transporte - Uso do Sistema de Distribuição</v>
      </c>
      <c r="D235" s="845">
        <v>2</v>
      </c>
      <c r="E235" s="845">
        <v>2</v>
      </c>
      <c r="F235" s="845">
        <f>Financeiros!H97</f>
        <v>22</v>
      </c>
      <c r="G235" s="845">
        <f>Financeiros!I97</f>
        <v>60</v>
      </c>
      <c r="H235" s="845">
        <f>Financeiros!J97</f>
        <v>999</v>
      </c>
      <c r="I235" s="845">
        <f>Financeiros!K97</f>
        <v>1</v>
      </c>
      <c r="J235" s="845">
        <f>Financeiros!L97</f>
        <v>7</v>
      </c>
      <c r="K235" s="845">
        <f>Financeiros!M97</f>
        <v>9</v>
      </c>
      <c r="L235" s="845">
        <v>99</v>
      </c>
      <c r="M235" s="845">
        <v>9</v>
      </c>
      <c r="N235" s="845">
        <v>3</v>
      </c>
      <c r="O235" s="845">
        <v>99999</v>
      </c>
      <c r="P235" s="907">
        <f t="shared" si="7"/>
        <v>-402000</v>
      </c>
      <c r="Q235" s="232">
        <f>Financeiros!D97</f>
        <v>-402000</v>
      </c>
    </row>
    <row r="236" spans="1:17" ht="15.75">
      <c r="A236" s="845" t="s">
        <v>694</v>
      </c>
      <c r="B236" s="845" t="s">
        <v>1288</v>
      </c>
      <c r="C236" s="845">
        <f>Financeiros!C98</f>
        <v>0</v>
      </c>
      <c r="D236" s="845">
        <v>2</v>
      </c>
      <c r="E236" s="845">
        <v>2</v>
      </c>
      <c r="F236" s="845">
        <v>999</v>
      </c>
      <c r="G236" s="845">
        <v>999999</v>
      </c>
      <c r="H236" s="845">
        <v>999</v>
      </c>
      <c r="I236" s="845">
        <v>99</v>
      </c>
      <c r="J236" s="845">
        <v>999</v>
      </c>
      <c r="K236" s="845">
        <v>9</v>
      </c>
      <c r="L236" s="845">
        <v>99</v>
      </c>
      <c r="M236" s="845">
        <v>9</v>
      </c>
      <c r="N236" s="845">
        <v>3</v>
      </c>
      <c r="O236" s="845">
        <v>99999</v>
      </c>
      <c r="P236" s="907">
        <f t="shared" si="7"/>
        <v>0</v>
      </c>
      <c r="Q236" s="232">
        <f>Financeiros!D98</f>
        <v>0</v>
      </c>
    </row>
    <row r="237" spans="1:17" ht="15.75">
      <c r="A237" s="845" t="s">
        <v>694</v>
      </c>
      <c r="B237" s="845" t="s">
        <v>1288</v>
      </c>
      <c r="C237" s="845">
        <f>Financeiros!C99</f>
        <v>0</v>
      </c>
      <c r="D237" s="845">
        <v>2</v>
      </c>
      <c r="E237" s="845">
        <v>2</v>
      </c>
      <c r="F237" s="845">
        <v>999</v>
      </c>
      <c r="G237" s="845">
        <v>999999</v>
      </c>
      <c r="H237" s="845">
        <v>999</v>
      </c>
      <c r="I237" s="845">
        <v>99</v>
      </c>
      <c r="J237" s="845">
        <v>999</v>
      </c>
      <c r="K237" s="845">
        <v>9</v>
      </c>
      <c r="L237" s="845">
        <v>99</v>
      </c>
      <c r="M237" s="845">
        <v>9</v>
      </c>
      <c r="N237" s="845">
        <v>3</v>
      </c>
      <c r="O237" s="845">
        <v>99999</v>
      </c>
      <c r="P237" s="907">
        <f t="shared" si="7"/>
        <v>0</v>
      </c>
      <c r="Q237" s="232">
        <f>Financeiros!D99</f>
        <v>0</v>
      </c>
    </row>
    <row r="238" spans="1:17" ht="15.75">
      <c r="A238" s="845" t="s">
        <v>694</v>
      </c>
      <c r="B238" s="845" t="s">
        <v>1288</v>
      </c>
      <c r="C238" s="845">
        <f>Financeiros!C100</f>
        <v>0</v>
      </c>
      <c r="D238" s="845">
        <v>2</v>
      </c>
      <c r="E238" s="845">
        <v>2</v>
      </c>
      <c r="F238" s="845">
        <v>999</v>
      </c>
      <c r="G238" s="845">
        <v>999999</v>
      </c>
      <c r="H238" s="845">
        <v>999</v>
      </c>
      <c r="I238" s="845">
        <v>99</v>
      </c>
      <c r="J238" s="845">
        <v>999</v>
      </c>
      <c r="K238" s="845">
        <v>9</v>
      </c>
      <c r="L238" s="845">
        <v>99</v>
      </c>
      <c r="M238" s="845">
        <v>9</v>
      </c>
      <c r="N238" s="845">
        <v>3</v>
      </c>
      <c r="O238" s="845">
        <v>99999</v>
      </c>
      <c r="P238" s="907">
        <f t="shared" ref="P238" si="8">IF(ISNUMBER(Q238),Q238,0)</f>
        <v>0</v>
      </c>
      <c r="Q238" s="232">
        <f>Financeiros!D100</f>
        <v>0</v>
      </c>
    </row>
    <row r="239" spans="1:17" ht="15.75">
      <c r="A239" s="1676" t="s">
        <v>1471</v>
      </c>
      <c r="B239" s="1677" t="s">
        <v>1471</v>
      </c>
      <c r="C239" s="1677" t="s">
        <v>1471</v>
      </c>
      <c r="D239" s="1677">
        <v>99</v>
      </c>
      <c r="E239" s="1677">
        <v>99</v>
      </c>
      <c r="F239" s="1677">
        <v>999</v>
      </c>
      <c r="G239" s="1677">
        <v>999999</v>
      </c>
      <c r="H239" s="1677">
        <v>999</v>
      </c>
      <c r="I239" s="1677">
        <v>99</v>
      </c>
      <c r="J239" s="1677">
        <v>999</v>
      </c>
      <c r="K239" s="1677">
        <v>9</v>
      </c>
      <c r="L239" s="1677">
        <v>99</v>
      </c>
      <c r="M239" s="1677">
        <v>9</v>
      </c>
      <c r="N239" s="1677">
        <v>99</v>
      </c>
      <c r="O239" s="1672">
        <v>99999</v>
      </c>
      <c r="P239" s="1678">
        <f>IF(ISNUMBER(Q239),Q239,0)</f>
        <v>0</v>
      </c>
      <c r="Q239" s="1679">
        <v>0</v>
      </c>
    </row>
    <row r="240" spans="1:17" ht="15.75">
      <c r="A240" s="1676" t="s">
        <v>1471</v>
      </c>
      <c r="B240" s="1677" t="s">
        <v>1471</v>
      </c>
      <c r="C240" s="1677" t="s">
        <v>1471</v>
      </c>
      <c r="D240" s="1677">
        <v>99</v>
      </c>
      <c r="E240" s="1677">
        <v>99</v>
      </c>
      <c r="F240" s="1677">
        <v>999</v>
      </c>
      <c r="G240" s="1677">
        <v>999999</v>
      </c>
      <c r="H240" s="1677">
        <v>999</v>
      </c>
      <c r="I240" s="1677">
        <v>99</v>
      </c>
      <c r="J240" s="1677">
        <v>999</v>
      </c>
      <c r="K240" s="1677">
        <v>9</v>
      </c>
      <c r="L240" s="1677">
        <v>99</v>
      </c>
      <c r="M240" s="1677">
        <v>9</v>
      </c>
      <c r="N240" s="1677">
        <v>99</v>
      </c>
      <c r="O240" s="1672">
        <v>99999</v>
      </c>
      <c r="P240" s="1678">
        <f>IF(ISNUMBER(Q240),Q240,0)</f>
        <v>0</v>
      </c>
      <c r="Q240" s="1679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694</v>
      </c>
      <c r="B1677" t="s">
        <v>715</v>
      </c>
      <c r="C1677" s="9" t="s">
        <v>1505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694</v>
      </c>
      <c r="B1678" t="s">
        <v>715</v>
      </c>
      <c r="C1678" s="9" t="s">
        <v>1506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694</v>
      </c>
      <c r="B1679" t="s">
        <v>715</v>
      </c>
      <c r="C1679" s="9" t="s">
        <v>1507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694</v>
      </c>
      <c r="B1680" t="s">
        <v>715</v>
      </c>
      <c r="C1680" s="9" t="s">
        <v>1508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694</v>
      </c>
      <c r="B1681" t="s">
        <v>715</v>
      </c>
      <c r="C1681" s="9" t="s">
        <v>1509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694</v>
      </c>
      <c r="B1682" t="s">
        <v>715</v>
      </c>
      <c r="C1682" s="9" t="s">
        <v>1510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87" t="s">
        <v>1511</v>
      </c>
      <c r="B1" s="493">
        <f>YEAR(SAS_RA0_DataInicio)*100+MONTH(SAS_RA0_DataInicio)</f>
        <v>202109</v>
      </c>
      <c r="D1" s="1387" t="s">
        <v>1512</v>
      </c>
      <c r="E1" s="1387" t="s">
        <v>1513</v>
      </c>
      <c r="F1" s="1387" t="s">
        <v>1514</v>
      </c>
    </row>
    <row r="2" spans="1:138" ht="15.75">
      <c r="A2" s="1387" t="s">
        <v>1515</v>
      </c>
      <c r="B2" s="493">
        <f>YEAR(SAS_RA0_DataFim)*100+MONTH(SAS_RA0_DataFim)</f>
        <v>202208</v>
      </c>
      <c r="D2" s="1388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89" t="s">
        <v>189</v>
      </c>
      <c r="B3" s="495">
        <f>YEAR(SAS_RA0_DataFim)*100+MONTH(SAS_RA0_DataFim)-MAX(C:C)+1</f>
        <v>202209</v>
      </c>
      <c r="D3" s="1388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1516</v>
      </c>
      <c r="B4" s="510" t="s">
        <v>1517</v>
      </c>
    </row>
    <row r="6" spans="1:138" ht="15.75">
      <c r="A6" s="766"/>
      <c r="B6" s="767"/>
      <c r="C6" s="767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0" t="s">
        <v>1518</v>
      </c>
      <c r="B1" s="1391">
        <v>0</v>
      </c>
    </row>
    <row r="2" spans="1:2">
      <c r="A2" s="1390" t="s">
        <v>1519</v>
      </c>
      <c r="B2" s="1391">
        <v>0</v>
      </c>
    </row>
    <row r="3" spans="1:2">
      <c r="A3" s="1390" t="s">
        <v>1520</v>
      </c>
      <c r="B3" s="1391">
        <v>0</v>
      </c>
    </row>
    <row r="4" spans="1:2">
      <c r="A4" s="1390" t="s">
        <v>1521</v>
      </c>
      <c r="B4" s="1391">
        <v>0</v>
      </c>
    </row>
    <row r="5" spans="1:2">
      <c r="A5" s="1390" t="s">
        <v>1522</v>
      </c>
      <c r="B5" s="1391">
        <v>0</v>
      </c>
    </row>
    <row r="6" spans="1:2">
      <c r="A6" s="1390" t="s">
        <v>1523</v>
      </c>
      <c r="B6" s="1391">
        <v>0</v>
      </c>
    </row>
    <row r="7" spans="1:2">
      <c r="A7" s="1390" t="s">
        <v>1524</v>
      </c>
      <c r="B7" s="1391">
        <v>0</v>
      </c>
    </row>
    <row r="8" spans="1:2">
      <c r="A8" s="1390" t="s">
        <v>1525</v>
      </c>
      <c r="B8" s="1391">
        <v>0</v>
      </c>
    </row>
    <row r="9" spans="1:2">
      <c r="A9" s="1390" t="s">
        <v>1526</v>
      </c>
      <c r="B9" s="1391">
        <v>0.45</v>
      </c>
    </row>
    <row r="10" spans="1:2">
      <c r="A10" s="1390" t="s">
        <v>1527</v>
      </c>
      <c r="B10" s="1391">
        <v>0.4</v>
      </c>
    </row>
    <row r="11" spans="1:2">
      <c r="A11" s="1390" t="s">
        <v>1528</v>
      </c>
      <c r="B11" s="1390">
        <v>0.65</v>
      </c>
    </row>
    <row r="12" spans="1:2">
      <c r="A12" s="1390" t="s">
        <v>1529</v>
      </c>
      <c r="B12" s="1390">
        <v>0.4</v>
      </c>
    </row>
    <row r="13" spans="1:2">
      <c r="A13" s="1390" t="s">
        <v>1530</v>
      </c>
      <c r="B13" s="1390">
        <v>0.1</v>
      </c>
    </row>
    <row r="14" spans="1:2">
      <c r="A14" s="1390" t="s">
        <v>1531</v>
      </c>
      <c r="B14" s="1390">
        <v>0</v>
      </c>
    </row>
    <row r="15" spans="1:2">
      <c r="A15" s="1390" t="s">
        <v>1532</v>
      </c>
      <c r="B15" s="1390">
        <v>0.3</v>
      </c>
    </row>
    <row r="16" spans="1:2">
      <c r="A16" s="1390" t="s">
        <v>1533</v>
      </c>
      <c r="B16" s="1390">
        <v>0.3</v>
      </c>
    </row>
    <row r="17" spans="1:13">
      <c r="A17" s="1390" t="s">
        <v>1534</v>
      </c>
      <c r="B17" s="1390">
        <v>0.4</v>
      </c>
    </row>
    <row r="20" spans="1:13" ht="15">
      <c r="D20" s="1392" t="s">
        <v>1373</v>
      </c>
      <c r="E20" s="1392" t="s">
        <v>958</v>
      </c>
      <c r="F20" s="1392" t="s">
        <v>1535</v>
      </c>
      <c r="G20" s="1392" t="s">
        <v>1536</v>
      </c>
      <c r="H20" s="1392" t="s">
        <v>1537</v>
      </c>
      <c r="I20" s="1392" t="s">
        <v>1538</v>
      </c>
      <c r="J20" s="1392" t="s">
        <v>1539</v>
      </c>
      <c r="K20" s="1392" t="s">
        <v>1540</v>
      </c>
      <c r="L20" s="1392" t="s">
        <v>1541</v>
      </c>
      <c r="M20" s="1392" t="s">
        <v>1042</v>
      </c>
    </row>
    <row r="21" spans="1:13" ht="30" hidden="1">
      <c r="D21" s="1393">
        <v>26</v>
      </c>
      <c r="E21" s="1394" t="s">
        <v>1542</v>
      </c>
      <c r="F21" s="1394" t="s">
        <v>113</v>
      </c>
      <c r="G21" s="1395">
        <v>41243</v>
      </c>
      <c r="H21" s="1396">
        <v>41243</v>
      </c>
      <c r="I21" s="1394" t="s">
        <v>961</v>
      </c>
      <c r="J21" s="1394" t="s">
        <v>114</v>
      </c>
      <c r="K21" s="1393">
        <v>1663</v>
      </c>
      <c r="L21" s="1394" t="s">
        <v>1543</v>
      </c>
      <c r="M21" s="1394" t="s">
        <v>1544</v>
      </c>
    </row>
    <row r="22" spans="1:13" ht="30" hidden="1">
      <c r="D22" s="1393">
        <v>28</v>
      </c>
      <c r="E22" s="1394" t="s">
        <v>1545</v>
      </c>
      <c r="F22" s="1394" t="s">
        <v>1546</v>
      </c>
      <c r="G22" s="1395">
        <v>41214</v>
      </c>
      <c r="H22" s="470"/>
      <c r="I22" s="1394" t="s">
        <v>961</v>
      </c>
      <c r="J22" s="1394" t="s">
        <v>114</v>
      </c>
      <c r="K22" s="1393">
        <v>1665</v>
      </c>
      <c r="L22" s="1394" t="s">
        <v>114</v>
      </c>
      <c r="M22" s="1394" t="s">
        <v>1544</v>
      </c>
    </row>
    <row r="23" spans="1:13" ht="30" hidden="1">
      <c r="D23" s="1393">
        <v>31</v>
      </c>
      <c r="E23" s="1394" t="s">
        <v>1547</v>
      </c>
      <c r="F23" s="1394" t="s">
        <v>115</v>
      </c>
      <c r="G23" s="1395">
        <v>41243</v>
      </c>
      <c r="H23" s="470"/>
      <c r="I23" s="1394" t="s">
        <v>961</v>
      </c>
      <c r="J23" s="1394" t="s">
        <v>114</v>
      </c>
      <c r="K23" s="1393">
        <v>1666</v>
      </c>
      <c r="L23" s="1394" t="s">
        <v>114</v>
      </c>
      <c r="M23" s="1394" t="s">
        <v>1544</v>
      </c>
    </row>
    <row r="24" spans="1:13" ht="30" hidden="1">
      <c r="D24" s="1393">
        <v>32</v>
      </c>
      <c r="E24" s="1394" t="s">
        <v>1548</v>
      </c>
      <c r="F24" s="1394" t="s">
        <v>116</v>
      </c>
      <c r="G24" s="1395">
        <v>41094</v>
      </c>
      <c r="H24" s="470"/>
      <c r="I24" s="1394" t="s">
        <v>961</v>
      </c>
      <c r="J24" s="1394" t="s">
        <v>114</v>
      </c>
      <c r="K24" s="1393">
        <v>1668</v>
      </c>
      <c r="L24" s="1394" t="s">
        <v>1549</v>
      </c>
      <c r="M24" s="1394" t="s">
        <v>1544</v>
      </c>
    </row>
    <row r="25" spans="1:13" ht="30" hidden="1">
      <c r="D25" s="1393">
        <v>37</v>
      </c>
      <c r="E25" s="1394" t="s">
        <v>1550</v>
      </c>
      <c r="F25" s="1394" t="s">
        <v>117</v>
      </c>
      <c r="G25" s="1395">
        <v>41149</v>
      </c>
      <c r="H25" s="470"/>
      <c r="I25" s="1394" t="s">
        <v>961</v>
      </c>
      <c r="J25" s="1394" t="s">
        <v>114</v>
      </c>
      <c r="K25" s="1393">
        <v>1669</v>
      </c>
      <c r="L25" s="1394" t="s">
        <v>1551</v>
      </c>
      <c r="M25" s="1394" t="s">
        <v>1544</v>
      </c>
    </row>
    <row r="26" spans="1:13" ht="30" hidden="1">
      <c r="D26" s="1393">
        <v>38</v>
      </c>
      <c r="E26" s="1394" t="s">
        <v>1552</v>
      </c>
      <c r="F26" s="1394" t="s">
        <v>118</v>
      </c>
      <c r="G26" s="1395">
        <v>41180</v>
      </c>
      <c r="H26" s="1396">
        <v>41149</v>
      </c>
      <c r="I26" s="1394" t="s">
        <v>961</v>
      </c>
      <c r="J26" s="1394" t="s">
        <v>114</v>
      </c>
      <c r="K26" s="1393">
        <v>1670</v>
      </c>
      <c r="L26" s="1394" t="s">
        <v>1553</v>
      </c>
      <c r="M26" s="1394" t="s">
        <v>1544</v>
      </c>
    </row>
    <row r="27" spans="1:13" ht="30" hidden="1">
      <c r="D27" s="1393">
        <v>39</v>
      </c>
      <c r="E27" s="1394" t="s">
        <v>1554</v>
      </c>
      <c r="F27" s="1394" t="s">
        <v>1555</v>
      </c>
      <c r="G27" s="1395">
        <v>41021</v>
      </c>
      <c r="H27" s="470"/>
      <c r="I27" s="1394" t="s">
        <v>961</v>
      </c>
      <c r="J27" s="1394" t="s">
        <v>114</v>
      </c>
      <c r="K27" s="1393">
        <v>1671</v>
      </c>
      <c r="L27" s="1394" t="s">
        <v>1556</v>
      </c>
      <c r="M27" s="1394" t="s">
        <v>1544</v>
      </c>
    </row>
    <row r="28" spans="1:13" ht="30" hidden="1">
      <c r="D28" s="1393">
        <v>40</v>
      </c>
      <c r="E28" s="1394" t="s">
        <v>1557</v>
      </c>
      <c r="F28" s="1394" t="s">
        <v>119</v>
      </c>
      <c r="G28" s="1395">
        <v>41021</v>
      </c>
      <c r="H28" s="470"/>
      <c r="I28" s="1394" t="s">
        <v>961</v>
      </c>
      <c r="J28" s="1394" t="s">
        <v>114</v>
      </c>
      <c r="K28" s="1393">
        <v>1672</v>
      </c>
      <c r="L28" s="1394" t="s">
        <v>1558</v>
      </c>
      <c r="M28" s="1394" t="s">
        <v>1544</v>
      </c>
    </row>
    <row r="29" spans="1:13" ht="30" hidden="1">
      <c r="D29" s="1393">
        <v>43</v>
      </c>
      <c r="E29" s="1394" t="s">
        <v>1559</v>
      </c>
      <c r="F29" s="1394" t="s">
        <v>120</v>
      </c>
      <c r="G29" s="1395">
        <v>41028</v>
      </c>
      <c r="H29" s="470"/>
      <c r="I29" s="1394" t="s">
        <v>961</v>
      </c>
      <c r="J29" s="1394" t="s">
        <v>114</v>
      </c>
      <c r="K29" s="1393">
        <v>1674</v>
      </c>
      <c r="L29" s="1394" t="s">
        <v>1560</v>
      </c>
      <c r="M29" s="1394" t="s">
        <v>1544</v>
      </c>
    </row>
    <row r="30" spans="1:13" ht="30" hidden="1">
      <c r="D30" s="1393">
        <v>44</v>
      </c>
      <c r="E30" s="1394" t="s">
        <v>1561</v>
      </c>
      <c r="F30" s="1394" t="s">
        <v>121</v>
      </c>
      <c r="G30" s="1395">
        <v>41180</v>
      </c>
      <c r="H30" s="470"/>
      <c r="I30" s="1394" t="s">
        <v>961</v>
      </c>
      <c r="J30" s="1394" t="s">
        <v>114</v>
      </c>
      <c r="K30" s="1393">
        <v>1675</v>
      </c>
      <c r="L30" s="1394" t="s">
        <v>1562</v>
      </c>
      <c r="M30" s="1394" t="s">
        <v>1544</v>
      </c>
    </row>
    <row r="31" spans="1:13" ht="30" hidden="1">
      <c r="D31" s="1393">
        <v>46</v>
      </c>
      <c r="E31" s="1394" t="s">
        <v>1563</v>
      </c>
      <c r="F31" s="1394" t="s">
        <v>122</v>
      </c>
      <c r="G31" s="1395">
        <v>41051</v>
      </c>
      <c r="H31" s="1396">
        <v>41257</v>
      </c>
      <c r="I31" s="1394" t="s">
        <v>961</v>
      </c>
      <c r="J31" s="1394" t="s">
        <v>1564</v>
      </c>
      <c r="K31" s="1393">
        <v>1676</v>
      </c>
      <c r="L31" s="1394" t="s">
        <v>1565</v>
      </c>
      <c r="M31" s="1394" t="s">
        <v>1544</v>
      </c>
    </row>
    <row r="32" spans="1:13" ht="30" hidden="1">
      <c r="D32" s="1393">
        <v>47</v>
      </c>
      <c r="E32" s="1394" t="s">
        <v>1566</v>
      </c>
      <c r="F32" s="1394" t="s">
        <v>123</v>
      </c>
      <c r="G32" s="1395">
        <v>41021</v>
      </c>
      <c r="H32" s="470"/>
      <c r="I32" s="1394" t="s">
        <v>961</v>
      </c>
      <c r="J32" s="1394" t="s">
        <v>114</v>
      </c>
      <c r="K32" s="1393">
        <v>1677</v>
      </c>
      <c r="L32" s="1394" t="s">
        <v>1567</v>
      </c>
      <c r="M32" s="1394" t="s">
        <v>1544</v>
      </c>
    </row>
    <row r="33" spans="4:13" ht="15" hidden="1">
      <c r="D33" s="1393">
        <v>51</v>
      </c>
      <c r="E33" s="1394" t="s">
        <v>1568</v>
      </c>
      <c r="F33" s="1394" t="s">
        <v>124</v>
      </c>
      <c r="G33" s="1395">
        <v>41235</v>
      </c>
      <c r="H33" s="1396">
        <v>41210</v>
      </c>
      <c r="I33" s="1394" t="s">
        <v>961</v>
      </c>
      <c r="J33" s="1394" t="s">
        <v>1564</v>
      </c>
      <c r="K33" s="1393">
        <v>1682</v>
      </c>
      <c r="L33" s="1394" t="s">
        <v>1569</v>
      </c>
      <c r="M33" s="1394" t="s">
        <v>1544</v>
      </c>
    </row>
    <row r="34" spans="4:13" ht="15" hidden="1">
      <c r="D34" s="1393">
        <v>56</v>
      </c>
      <c r="E34" s="1394" t="s">
        <v>1570</v>
      </c>
      <c r="F34" s="1394" t="s">
        <v>1571</v>
      </c>
      <c r="G34" s="470"/>
      <c r="H34" s="470"/>
      <c r="I34" s="1394" t="s">
        <v>961</v>
      </c>
      <c r="J34" s="1394" t="s">
        <v>114</v>
      </c>
      <c r="K34" s="1393">
        <v>1683</v>
      </c>
      <c r="L34" s="1394" t="s">
        <v>114</v>
      </c>
      <c r="M34" s="1394" t="s">
        <v>1544</v>
      </c>
    </row>
    <row r="35" spans="4:13" ht="30" hidden="1">
      <c r="D35" s="1393">
        <v>63</v>
      </c>
      <c r="E35" s="1394" t="s">
        <v>1572</v>
      </c>
      <c r="F35" s="1394" t="s">
        <v>125</v>
      </c>
      <c r="G35" s="1395">
        <v>41007</v>
      </c>
      <c r="H35" s="470"/>
      <c r="I35" s="1394" t="s">
        <v>961</v>
      </c>
      <c r="J35" s="1394" t="s">
        <v>114</v>
      </c>
      <c r="K35" s="1393">
        <v>1688</v>
      </c>
      <c r="L35" s="1394" t="s">
        <v>1573</v>
      </c>
      <c r="M35" s="1394" t="s">
        <v>1544</v>
      </c>
    </row>
    <row r="36" spans="4:13" ht="30" hidden="1">
      <c r="D36" s="1393">
        <v>69</v>
      </c>
      <c r="E36" s="1394" t="s">
        <v>1574</v>
      </c>
      <c r="F36" s="1394" t="s">
        <v>1575</v>
      </c>
      <c r="G36" s="1395">
        <v>40990</v>
      </c>
      <c r="H36" s="1396">
        <v>42038</v>
      </c>
      <c r="I36" s="1394" t="s">
        <v>961</v>
      </c>
      <c r="J36" s="1394" t="s">
        <v>114</v>
      </c>
      <c r="K36" s="1393">
        <v>1692</v>
      </c>
      <c r="L36" s="1394" t="s">
        <v>1576</v>
      </c>
      <c r="M36" s="1394" t="s">
        <v>1544</v>
      </c>
    </row>
    <row r="37" spans="4:13" ht="30" hidden="1">
      <c r="D37" s="1393">
        <v>70</v>
      </c>
      <c r="E37" s="1394" t="s">
        <v>1577</v>
      </c>
      <c r="F37" s="1394" t="s">
        <v>1578</v>
      </c>
      <c r="G37" s="1395">
        <v>40990</v>
      </c>
      <c r="H37" s="1396">
        <v>42038</v>
      </c>
      <c r="I37" s="1394" t="s">
        <v>961</v>
      </c>
      <c r="J37" s="1394" t="s">
        <v>114</v>
      </c>
      <c r="K37" s="1393">
        <v>1693</v>
      </c>
      <c r="L37" s="1394" t="s">
        <v>1579</v>
      </c>
      <c r="M37" s="1394" t="s">
        <v>1544</v>
      </c>
    </row>
    <row r="38" spans="4:13" ht="30" hidden="1">
      <c r="D38" s="1393">
        <v>71</v>
      </c>
      <c r="E38" s="1394" t="s">
        <v>1580</v>
      </c>
      <c r="F38" s="1394" t="s">
        <v>1581</v>
      </c>
      <c r="G38" s="1395">
        <v>40990</v>
      </c>
      <c r="H38" s="1396">
        <v>42038</v>
      </c>
      <c r="I38" s="1394" t="s">
        <v>961</v>
      </c>
      <c r="J38" s="1394" t="s">
        <v>114</v>
      </c>
      <c r="K38" s="1393">
        <v>1694</v>
      </c>
      <c r="L38" s="1394" t="s">
        <v>1582</v>
      </c>
      <c r="M38" s="1394" t="s">
        <v>1544</v>
      </c>
    </row>
    <row r="39" spans="4:13" ht="30" hidden="1">
      <c r="D39" s="1393">
        <v>72</v>
      </c>
      <c r="E39" s="1394" t="s">
        <v>1583</v>
      </c>
      <c r="F39" s="1394" t="s">
        <v>166</v>
      </c>
      <c r="G39" s="1395">
        <v>40990</v>
      </c>
      <c r="H39" s="1396">
        <v>42038</v>
      </c>
      <c r="I39" s="1394" t="s">
        <v>961</v>
      </c>
      <c r="J39" s="1394" t="s">
        <v>114</v>
      </c>
      <c r="K39" s="1393">
        <v>1695</v>
      </c>
      <c r="L39" s="1394" t="s">
        <v>1584</v>
      </c>
      <c r="M39" s="1394" t="s">
        <v>1544</v>
      </c>
    </row>
    <row r="40" spans="4:13" ht="30" hidden="1">
      <c r="D40" s="1393">
        <v>73</v>
      </c>
      <c r="E40" s="1394" t="s">
        <v>1585</v>
      </c>
      <c r="F40" s="1394" t="s">
        <v>1586</v>
      </c>
      <c r="G40" s="1395">
        <v>40990</v>
      </c>
      <c r="H40" s="1396">
        <v>42038</v>
      </c>
      <c r="I40" s="1394" t="s">
        <v>961</v>
      </c>
      <c r="J40" s="1394" t="s">
        <v>1564</v>
      </c>
      <c r="K40" s="1393">
        <v>1696</v>
      </c>
      <c r="L40" s="1394" t="s">
        <v>1587</v>
      </c>
      <c r="M40" s="1394" t="s">
        <v>1544</v>
      </c>
    </row>
    <row r="41" spans="4:13" ht="30" hidden="1">
      <c r="D41" s="1393">
        <v>75</v>
      </c>
      <c r="E41" s="1394" t="s">
        <v>1588</v>
      </c>
      <c r="F41" s="1394" t="s">
        <v>1589</v>
      </c>
      <c r="G41" s="1395">
        <v>41039</v>
      </c>
      <c r="H41" s="470"/>
      <c r="I41" s="1394" t="s">
        <v>961</v>
      </c>
      <c r="J41" s="1394" t="s">
        <v>114</v>
      </c>
      <c r="K41" s="1393">
        <v>1697</v>
      </c>
      <c r="L41" s="1394" t="s">
        <v>1590</v>
      </c>
      <c r="M41" s="1394" t="s">
        <v>1544</v>
      </c>
    </row>
    <row r="42" spans="4:13" ht="30" hidden="1">
      <c r="D42" s="1393">
        <v>82</v>
      </c>
      <c r="E42" s="1394" t="s">
        <v>1591</v>
      </c>
      <c r="F42" s="1394" t="s">
        <v>126</v>
      </c>
      <c r="G42" s="1395">
        <v>41089</v>
      </c>
      <c r="H42" s="1396">
        <v>41084</v>
      </c>
      <c r="I42" s="1394" t="s">
        <v>961</v>
      </c>
      <c r="J42" s="1394" t="s">
        <v>1564</v>
      </c>
      <c r="K42" s="1393">
        <v>1701</v>
      </c>
      <c r="L42" s="1394" t="s">
        <v>1592</v>
      </c>
      <c r="M42" s="1394" t="s">
        <v>1544</v>
      </c>
    </row>
    <row r="43" spans="4:13" ht="30" hidden="1">
      <c r="D43" s="1393">
        <v>83</v>
      </c>
      <c r="E43" s="1394" t="s">
        <v>1593</v>
      </c>
      <c r="F43" s="1394" t="s">
        <v>168</v>
      </c>
      <c r="G43" s="1395">
        <v>41147</v>
      </c>
      <c r="H43" s="470"/>
      <c r="I43" s="1394" t="s">
        <v>961</v>
      </c>
      <c r="J43" s="1394" t="s">
        <v>1564</v>
      </c>
      <c r="K43" s="1393">
        <v>1702</v>
      </c>
      <c r="L43" s="1394" t="s">
        <v>1594</v>
      </c>
      <c r="M43" s="1394" t="s">
        <v>1544</v>
      </c>
    </row>
    <row r="44" spans="4:13" ht="30" hidden="1">
      <c r="D44" s="1393">
        <v>84</v>
      </c>
      <c r="E44" s="1394" t="s">
        <v>1595</v>
      </c>
      <c r="F44" s="1394" t="s">
        <v>1596</v>
      </c>
      <c r="G44" s="1395">
        <v>41089</v>
      </c>
      <c r="H44" s="470"/>
      <c r="I44" s="1394" t="s">
        <v>961</v>
      </c>
      <c r="J44" s="1394" t="s">
        <v>1564</v>
      </c>
      <c r="K44" s="1393">
        <v>1703</v>
      </c>
      <c r="L44" s="1394" t="s">
        <v>1597</v>
      </c>
      <c r="M44" s="1394" t="s">
        <v>1544</v>
      </c>
    </row>
    <row r="45" spans="4:13" ht="30" hidden="1">
      <c r="D45" s="1393">
        <v>86</v>
      </c>
      <c r="E45" s="1394" t="s">
        <v>1598</v>
      </c>
      <c r="F45" s="1394" t="s">
        <v>127</v>
      </c>
      <c r="G45" s="1395">
        <v>41150</v>
      </c>
      <c r="H45" s="1396">
        <v>41865</v>
      </c>
      <c r="I45" s="1394" t="s">
        <v>961</v>
      </c>
      <c r="J45" s="1394" t="s">
        <v>1564</v>
      </c>
      <c r="K45" s="1393">
        <v>1704</v>
      </c>
      <c r="L45" s="1394" t="s">
        <v>1599</v>
      </c>
      <c r="M45" s="1394" t="s">
        <v>1544</v>
      </c>
    </row>
    <row r="46" spans="4:13" ht="30" hidden="1">
      <c r="D46" s="1393">
        <v>87</v>
      </c>
      <c r="E46" s="1394" t="s">
        <v>1600</v>
      </c>
      <c r="F46" s="1394" t="s">
        <v>128</v>
      </c>
      <c r="G46" s="1395">
        <v>41150</v>
      </c>
      <c r="H46" s="1396">
        <v>41128</v>
      </c>
      <c r="I46" s="1394" t="s">
        <v>961</v>
      </c>
      <c r="J46" s="1394" t="s">
        <v>1564</v>
      </c>
      <c r="K46" s="1393">
        <v>1705</v>
      </c>
      <c r="L46" s="1394" t="s">
        <v>1601</v>
      </c>
      <c r="M46" s="1394" t="s">
        <v>1544</v>
      </c>
    </row>
    <row r="47" spans="4:13" ht="30" hidden="1">
      <c r="D47" s="1393">
        <v>88</v>
      </c>
      <c r="E47" s="1394" t="s">
        <v>1602</v>
      </c>
      <c r="F47" s="1394" t="s">
        <v>1603</v>
      </c>
      <c r="G47" s="1395">
        <v>41150</v>
      </c>
      <c r="H47" s="1396">
        <v>41865</v>
      </c>
      <c r="I47" s="1394" t="s">
        <v>961</v>
      </c>
      <c r="J47" s="1394" t="s">
        <v>1564</v>
      </c>
      <c r="K47" s="1393">
        <v>1706</v>
      </c>
      <c r="L47" s="1394" t="s">
        <v>1604</v>
      </c>
      <c r="M47" s="1394" t="s">
        <v>1544</v>
      </c>
    </row>
    <row r="48" spans="4:13" ht="15" hidden="1">
      <c r="D48" s="1393">
        <v>95</v>
      </c>
      <c r="E48" s="1394" t="s">
        <v>1605</v>
      </c>
      <c r="F48" s="1394" t="s">
        <v>129</v>
      </c>
      <c r="G48" s="1395">
        <v>41112</v>
      </c>
      <c r="H48" s="1396">
        <v>41089</v>
      </c>
      <c r="I48" s="1394" t="s">
        <v>961</v>
      </c>
      <c r="J48" s="1394" t="s">
        <v>1564</v>
      </c>
      <c r="K48" s="1393">
        <v>1708</v>
      </c>
      <c r="L48" s="1394" t="s">
        <v>1606</v>
      </c>
      <c r="M48" s="1394" t="s">
        <v>1544</v>
      </c>
    </row>
    <row r="49" spans="4:13" ht="30" hidden="1">
      <c r="D49" s="1393">
        <v>103</v>
      </c>
      <c r="E49" s="1394" t="s">
        <v>1607</v>
      </c>
      <c r="F49" s="1394" t="s">
        <v>130</v>
      </c>
      <c r="G49" s="1395">
        <v>41235</v>
      </c>
      <c r="H49" s="1396">
        <v>41164</v>
      </c>
      <c r="I49" s="1394" t="s">
        <v>961</v>
      </c>
      <c r="J49" s="1394" t="s">
        <v>1564</v>
      </c>
      <c r="K49" s="1393">
        <v>1710</v>
      </c>
      <c r="L49" s="1394" t="s">
        <v>1608</v>
      </c>
      <c r="M49" s="1394" t="s">
        <v>1544</v>
      </c>
    </row>
    <row r="50" spans="4:13" ht="30">
      <c r="D50" s="1393">
        <v>213</v>
      </c>
      <c r="E50" s="1394" t="s">
        <v>1609</v>
      </c>
      <c r="F50" s="1394" t="s">
        <v>1610</v>
      </c>
      <c r="G50" s="470"/>
      <c r="H50" s="470"/>
      <c r="I50" s="1394" t="s">
        <v>961</v>
      </c>
      <c r="J50" s="1394" t="s">
        <v>114</v>
      </c>
      <c r="K50" s="1393">
        <v>1757</v>
      </c>
      <c r="L50" s="1394" t="s">
        <v>114</v>
      </c>
      <c r="M50" s="1394" t="s">
        <v>1172</v>
      </c>
    </row>
    <row r="51" spans="4:13" ht="30" hidden="1">
      <c r="D51" s="1393">
        <v>369</v>
      </c>
      <c r="E51" s="1394" t="s">
        <v>1611</v>
      </c>
      <c r="F51" s="1394" t="s">
        <v>131</v>
      </c>
      <c r="G51" s="1395">
        <v>41243</v>
      </c>
      <c r="H51" s="1396">
        <v>41243</v>
      </c>
      <c r="I51" s="1394" t="s">
        <v>961</v>
      </c>
      <c r="J51" s="1394" t="s">
        <v>114</v>
      </c>
      <c r="K51" s="1393">
        <v>1770</v>
      </c>
      <c r="L51" s="1394" t="s">
        <v>1612</v>
      </c>
      <c r="M51" s="1394" t="s">
        <v>1544</v>
      </c>
    </row>
    <row r="52" spans="4:13" ht="15" hidden="1">
      <c r="D52" s="1393">
        <v>370</v>
      </c>
      <c r="E52" s="1394" t="s">
        <v>1613</v>
      </c>
      <c r="F52" s="1394" t="s">
        <v>1614</v>
      </c>
      <c r="G52" s="1395">
        <v>41214</v>
      </c>
      <c r="H52" s="1396">
        <v>41214</v>
      </c>
      <c r="I52" s="1394" t="s">
        <v>961</v>
      </c>
      <c r="J52" s="1394" t="s">
        <v>114</v>
      </c>
      <c r="K52" s="1393">
        <v>1771</v>
      </c>
      <c r="L52" s="1394" t="s">
        <v>1615</v>
      </c>
      <c r="M52" s="1394" t="s">
        <v>1544</v>
      </c>
    </row>
    <row r="53" spans="4:13" ht="30" hidden="1">
      <c r="D53" s="1393">
        <v>371</v>
      </c>
      <c r="E53" s="1394" t="s">
        <v>1616</v>
      </c>
      <c r="F53" s="1394" t="s">
        <v>132</v>
      </c>
      <c r="G53" s="1395">
        <v>40762</v>
      </c>
      <c r="H53" s="470"/>
      <c r="I53" s="1394" t="s">
        <v>961</v>
      </c>
      <c r="J53" s="1394" t="s">
        <v>114</v>
      </c>
      <c r="K53" s="1393">
        <v>1772</v>
      </c>
      <c r="L53" s="1394" t="s">
        <v>1617</v>
      </c>
      <c r="M53" s="1394" t="s">
        <v>1544</v>
      </c>
    </row>
    <row r="54" spans="4:13" ht="30" hidden="1">
      <c r="D54" s="1393">
        <v>380</v>
      </c>
      <c r="E54" s="1394" t="s">
        <v>1618</v>
      </c>
      <c r="F54" s="1394" t="s">
        <v>1619</v>
      </c>
      <c r="G54" s="1395">
        <v>41128</v>
      </c>
      <c r="H54" s="470"/>
      <c r="I54" s="1394" t="s">
        <v>961</v>
      </c>
      <c r="J54" s="1394" t="s">
        <v>114</v>
      </c>
      <c r="K54" s="1393">
        <v>1777</v>
      </c>
      <c r="L54" s="1394" t="s">
        <v>1620</v>
      </c>
      <c r="M54" s="1394" t="s">
        <v>1544</v>
      </c>
    </row>
    <row r="55" spans="4:13" ht="30" hidden="1">
      <c r="D55" s="1393">
        <v>381</v>
      </c>
      <c r="E55" s="1394" t="s">
        <v>1621</v>
      </c>
      <c r="F55" s="1394" t="s">
        <v>133</v>
      </c>
      <c r="G55" s="1395">
        <v>41143</v>
      </c>
      <c r="H55" s="1396">
        <v>41136</v>
      </c>
      <c r="I55" s="1394" t="s">
        <v>961</v>
      </c>
      <c r="J55" s="1394" t="s">
        <v>114</v>
      </c>
      <c r="K55" s="1393">
        <v>1778</v>
      </c>
      <c r="L55" s="1394" t="s">
        <v>1622</v>
      </c>
      <c r="M55" s="1394" t="s">
        <v>1544</v>
      </c>
    </row>
    <row r="56" spans="4:13" ht="30" hidden="1">
      <c r="D56" s="1393">
        <v>382</v>
      </c>
      <c r="E56" s="1394" t="s">
        <v>1623</v>
      </c>
      <c r="F56" s="1394" t="s">
        <v>134</v>
      </c>
      <c r="G56" s="1395">
        <v>40983</v>
      </c>
      <c r="H56" s="1396">
        <v>41220</v>
      </c>
      <c r="I56" s="1394" t="s">
        <v>961</v>
      </c>
      <c r="J56" s="1394" t="s">
        <v>114</v>
      </c>
      <c r="K56" s="1393">
        <v>1779</v>
      </c>
      <c r="L56" s="1394" t="s">
        <v>1624</v>
      </c>
      <c r="M56" s="1394" t="s">
        <v>1544</v>
      </c>
    </row>
    <row r="57" spans="4:13" ht="30" hidden="1">
      <c r="D57" s="1393">
        <v>383</v>
      </c>
      <c r="E57" s="1394" t="s">
        <v>1625</v>
      </c>
      <c r="F57" s="1394" t="s">
        <v>429</v>
      </c>
      <c r="G57" s="1395">
        <v>40983</v>
      </c>
      <c r="H57" s="470"/>
      <c r="I57" s="1394" t="s">
        <v>961</v>
      </c>
      <c r="J57" s="1394" t="s">
        <v>114</v>
      </c>
      <c r="K57" s="1393">
        <v>1780</v>
      </c>
      <c r="L57" s="1394" t="s">
        <v>1626</v>
      </c>
      <c r="M57" s="1394" t="s">
        <v>1544</v>
      </c>
    </row>
    <row r="58" spans="4:13" ht="30" hidden="1">
      <c r="D58" s="1393">
        <v>385</v>
      </c>
      <c r="E58" s="1394" t="s">
        <v>1627</v>
      </c>
      <c r="F58" s="1394" t="s">
        <v>136</v>
      </c>
      <c r="G58" s="1395">
        <v>41148</v>
      </c>
      <c r="H58" s="470"/>
      <c r="I58" s="1394" t="s">
        <v>961</v>
      </c>
      <c r="J58" s="1394" t="s">
        <v>114</v>
      </c>
      <c r="K58" s="1393">
        <v>1782</v>
      </c>
      <c r="L58" s="1394" t="s">
        <v>1628</v>
      </c>
      <c r="M58" s="1394" t="s">
        <v>1544</v>
      </c>
    </row>
    <row r="59" spans="4:13" ht="30" hidden="1">
      <c r="D59" s="1393">
        <v>386</v>
      </c>
      <c r="E59" s="1394" t="s">
        <v>1629</v>
      </c>
      <c r="F59" s="1394" t="s">
        <v>1630</v>
      </c>
      <c r="G59" s="1395">
        <v>41039</v>
      </c>
      <c r="H59" s="470"/>
      <c r="I59" s="1394" t="s">
        <v>961</v>
      </c>
      <c r="J59" s="1394" t="s">
        <v>114</v>
      </c>
      <c r="K59" s="1393">
        <v>1783</v>
      </c>
      <c r="L59" s="1394" t="s">
        <v>1631</v>
      </c>
      <c r="M59" s="1394" t="s">
        <v>1544</v>
      </c>
    </row>
    <row r="60" spans="4:13" ht="45" hidden="1">
      <c r="D60" s="1393">
        <v>390</v>
      </c>
      <c r="E60" s="1394" t="s">
        <v>1632</v>
      </c>
      <c r="F60" s="1394" t="s">
        <v>250</v>
      </c>
      <c r="G60" s="1395">
        <v>41094</v>
      </c>
      <c r="H60" s="470"/>
      <c r="I60" s="1394" t="s">
        <v>961</v>
      </c>
      <c r="J60" s="1394" t="s">
        <v>114</v>
      </c>
      <c r="K60" s="1393">
        <v>1787</v>
      </c>
      <c r="L60" s="1394" t="s">
        <v>1633</v>
      </c>
      <c r="M60" s="1394" t="s">
        <v>1544</v>
      </c>
    </row>
    <row r="61" spans="4:13" ht="30" hidden="1">
      <c r="D61" s="1393">
        <v>391</v>
      </c>
      <c r="E61" s="1394" t="s">
        <v>1634</v>
      </c>
      <c r="F61" s="1394" t="s">
        <v>228</v>
      </c>
      <c r="G61" s="1395">
        <v>41205</v>
      </c>
      <c r="H61" s="470"/>
      <c r="I61" s="1394" t="s">
        <v>961</v>
      </c>
      <c r="J61" s="1394" t="s">
        <v>114</v>
      </c>
      <c r="K61" s="1393">
        <v>1788</v>
      </c>
      <c r="L61" s="1394" t="s">
        <v>1635</v>
      </c>
      <c r="M61" s="1394" t="s">
        <v>1544</v>
      </c>
    </row>
    <row r="62" spans="4:13" ht="30" hidden="1">
      <c r="D62" s="1393">
        <v>396</v>
      </c>
      <c r="E62" s="1394" t="s">
        <v>1636</v>
      </c>
      <c r="F62" s="1394" t="s">
        <v>1637</v>
      </c>
      <c r="G62" s="1395">
        <v>41018</v>
      </c>
      <c r="H62" s="470"/>
      <c r="I62" s="1394" t="s">
        <v>961</v>
      </c>
      <c r="J62" s="1394" t="s">
        <v>114</v>
      </c>
      <c r="K62" s="1393">
        <v>1792</v>
      </c>
      <c r="L62" s="1394" t="s">
        <v>1638</v>
      </c>
      <c r="M62" s="1394" t="s">
        <v>1544</v>
      </c>
    </row>
    <row r="63" spans="4:13" ht="15" hidden="1">
      <c r="D63" s="1393">
        <v>397</v>
      </c>
      <c r="E63" s="1394" t="s">
        <v>1639</v>
      </c>
      <c r="F63" s="1394" t="s">
        <v>167</v>
      </c>
      <c r="G63" s="1395">
        <v>41079</v>
      </c>
      <c r="H63" s="1396">
        <v>39922</v>
      </c>
      <c r="I63" s="1394" t="s">
        <v>961</v>
      </c>
      <c r="J63" s="1394" t="s">
        <v>114</v>
      </c>
      <c r="K63" s="1393">
        <v>1793</v>
      </c>
      <c r="L63" s="1394" t="s">
        <v>1640</v>
      </c>
      <c r="M63" s="1394" t="s">
        <v>1544</v>
      </c>
    </row>
    <row r="64" spans="4:13" ht="30" hidden="1">
      <c r="D64" s="1393">
        <v>398</v>
      </c>
      <c r="E64" s="1394" t="s">
        <v>1641</v>
      </c>
      <c r="F64" s="1394" t="s">
        <v>137</v>
      </c>
      <c r="G64" s="1395">
        <v>41112</v>
      </c>
      <c r="H64" s="1396">
        <v>41089</v>
      </c>
      <c r="I64" s="1394" t="s">
        <v>961</v>
      </c>
      <c r="J64" s="1394" t="s">
        <v>1564</v>
      </c>
      <c r="K64" s="1393">
        <v>1794</v>
      </c>
      <c r="L64" s="1394" t="s">
        <v>1642</v>
      </c>
      <c r="M64" s="1394" t="s">
        <v>1544</v>
      </c>
    </row>
    <row r="65" spans="4:13" ht="30" hidden="1">
      <c r="D65" s="1393">
        <v>399</v>
      </c>
      <c r="E65" s="1394" t="s">
        <v>1643</v>
      </c>
      <c r="F65" s="1394" t="s">
        <v>138</v>
      </c>
      <c r="G65" s="1395">
        <v>41112</v>
      </c>
      <c r="H65" s="1396">
        <v>41089</v>
      </c>
      <c r="I65" s="1394" t="s">
        <v>961</v>
      </c>
      <c r="J65" s="1394" t="s">
        <v>1564</v>
      </c>
      <c r="K65" s="1393">
        <v>1795</v>
      </c>
      <c r="L65" s="1394" t="s">
        <v>1644</v>
      </c>
      <c r="M65" s="1394" t="s">
        <v>1544</v>
      </c>
    </row>
    <row r="66" spans="4:13" ht="30" hidden="1">
      <c r="D66" s="1393">
        <v>400</v>
      </c>
      <c r="E66" s="1394" t="s">
        <v>1645</v>
      </c>
      <c r="F66" s="1394" t="s">
        <v>139</v>
      </c>
      <c r="G66" s="1395">
        <v>41051</v>
      </c>
      <c r="H66" s="1396">
        <v>41018</v>
      </c>
      <c r="I66" s="1394" t="s">
        <v>961</v>
      </c>
      <c r="J66" s="1394" t="s">
        <v>1564</v>
      </c>
      <c r="K66" s="1393">
        <v>1796</v>
      </c>
      <c r="L66" s="1394" t="s">
        <v>1646</v>
      </c>
      <c r="M66" s="1394" t="s">
        <v>1544</v>
      </c>
    </row>
    <row r="67" spans="4:13" ht="30" hidden="1">
      <c r="D67" s="1393">
        <v>401</v>
      </c>
      <c r="E67" s="1394" t="s">
        <v>1647</v>
      </c>
      <c r="F67" s="1394" t="s">
        <v>140</v>
      </c>
      <c r="G67" s="1395">
        <v>41112</v>
      </c>
      <c r="H67" s="1396">
        <v>41089</v>
      </c>
      <c r="I67" s="1394" t="s">
        <v>961</v>
      </c>
      <c r="J67" s="1394" t="s">
        <v>1564</v>
      </c>
      <c r="K67" s="1393">
        <v>1797</v>
      </c>
      <c r="L67" s="1394" t="s">
        <v>1648</v>
      </c>
      <c r="M67" s="1394" t="s">
        <v>1544</v>
      </c>
    </row>
    <row r="68" spans="4:13" ht="30" hidden="1">
      <c r="D68" s="1393">
        <v>404</v>
      </c>
      <c r="E68" s="1394" t="s">
        <v>1649</v>
      </c>
      <c r="F68" s="1394" t="s">
        <v>141</v>
      </c>
      <c r="G68" s="1395">
        <v>41007</v>
      </c>
      <c r="H68" s="470"/>
      <c r="I68" s="1394" t="s">
        <v>961</v>
      </c>
      <c r="J68" s="1394" t="s">
        <v>114</v>
      </c>
      <c r="K68" s="1393">
        <v>1800</v>
      </c>
      <c r="L68" s="1394" t="s">
        <v>1650</v>
      </c>
      <c r="M68" s="1394" t="s">
        <v>1544</v>
      </c>
    </row>
    <row r="69" spans="4:13" ht="30" hidden="1">
      <c r="D69" s="1393">
        <v>405</v>
      </c>
      <c r="E69" s="1394" t="s">
        <v>1651</v>
      </c>
      <c r="F69" s="1394" t="s">
        <v>142</v>
      </c>
      <c r="G69" s="1395">
        <v>41007</v>
      </c>
      <c r="H69" s="470"/>
      <c r="I69" s="1394" t="s">
        <v>961</v>
      </c>
      <c r="J69" s="1394" t="s">
        <v>114</v>
      </c>
      <c r="K69" s="1393">
        <v>1802</v>
      </c>
      <c r="L69" s="1394" t="s">
        <v>1652</v>
      </c>
      <c r="M69" s="1394" t="s">
        <v>1544</v>
      </c>
    </row>
    <row r="70" spans="4:13" ht="30">
      <c r="D70" s="1393">
        <v>598</v>
      </c>
      <c r="E70" s="1394" t="s">
        <v>1653</v>
      </c>
      <c r="F70" s="1394" t="s">
        <v>1654</v>
      </c>
      <c r="G70" s="1395">
        <v>41485</v>
      </c>
      <c r="H70" s="470"/>
      <c r="I70" s="1394" t="s">
        <v>961</v>
      </c>
      <c r="J70" s="1394" t="s">
        <v>1564</v>
      </c>
      <c r="K70" s="1393">
        <v>1855</v>
      </c>
      <c r="L70" s="1394" t="s">
        <v>1655</v>
      </c>
      <c r="M70" s="1394" t="s">
        <v>1172</v>
      </c>
    </row>
    <row r="71" spans="4:13" ht="30">
      <c r="D71" s="1393">
        <v>2351</v>
      </c>
      <c r="E71" s="1394" t="s">
        <v>1656</v>
      </c>
      <c r="F71" s="1394" t="s">
        <v>403</v>
      </c>
      <c r="G71" s="1395">
        <v>41485</v>
      </c>
      <c r="H71" s="470"/>
      <c r="I71" s="1394" t="s">
        <v>961</v>
      </c>
      <c r="J71" s="1394" t="s">
        <v>1564</v>
      </c>
      <c r="K71" s="1393">
        <v>2062</v>
      </c>
      <c r="L71" s="1394" t="s">
        <v>1657</v>
      </c>
      <c r="M71" s="1394" t="s">
        <v>1172</v>
      </c>
    </row>
    <row r="72" spans="4:13" ht="45">
      <c r="D72" s="1393">
        <v>2381</v>
      </c>
      <c r="E72" s="1394" t="s">
        <v>1658</v>
      </c>
      <c r="F72" s="1394" t="s">
        <v>375</v>
      </c>
      <c r="G72" s="1395">
        <v>41485</v>
      </c>
      <c r="H72" s="470"/>
      <c r="I72" s="1394" t="s">
        <v>961</v>
      </c>
      <c r="J72" s="1394" t="s">
        <v>1564</v>
      </c>
      <c r="K72" s="1393">
        <v>2066</v>
      </c>
      <c r="L72" s="1394" t="s">
        <v>1659</v>
      </c>
      <c r="M72" s="1394" t="s">
        <v>1172</v>
      </c>
    </row>
    <row r="73" spans="4:13" ht="30" hidden="1">
      <c r="D73" s="1393">
        <v>2513</v>
      </c>
      <c r="E73" s="1394" t="s">
        <v>1660</v>
      </c>
      <c r="F73" s="1394" t="s">
        <v>1661</v>
      </c>
      <c r="G73" s="1395">
        <v>40909</v>
      </c>
      <c r="H73" s="470"/>
      <c r="I73" s="1394" t="s">
        <v>961</v>
      </c>
      <c r="J73" s="1394" t="s">
        <v>114</v>
      </c>
      <c r="K73" s="1393">
        <v>2076</v>
      </c>
      <c r="L73" s="1394" t="s">
        <v>114</v>
      </c>
      <c r="M73" s="1394" t="s">
        <v>114</v>
      </c>
    </row>
    <row r="74" spans="4:13" ht="45">
      <c r="D74" s="1393">
        <v>2763</v>
      </c>
      <c r="E74" s="1394" t="s">
        <v>1662</v>
      </c>
      <c r="F74" s="1394" t="s">
        <v>144</v>
      </c>
      <c r="G74" s="1395">
        <v>41485</v>
      </c>
      <c r="H74" s="470"/>
      <c r="I74" s="1394" t="s">
        <v>961</v>
      </c>
      <c r="J74" s="1394" t="s">
        <v>1564</v>
      </c>
      <c r="K74" s="1393">
        <v>2111</v>
      </c>
      <c r="L74" s="1394" t="s">
        <v>1663</v>
      </c>
      <c r="M74" s="1394" t="s">
        <v>1172</v>
      </c>
    </row>
    <row r="75" spans="4:13" ht="45">
      <c r="D75" s="1393">
        <v>2783</v>
      </c>
      <c r="E75" s="1394" t="s">
        <v>1664</v>
      </c>
      <c r="F75" s="1394" t="s">
        <v>414</v>
      </c>
      <c r="G75" s="1395">
        <v>41485</v>
      </c>
      <c r="H75" s="470"/>
      <c r="I75" s="1394" t="s">
        <v>961</v>
      </c>
      <c r="J75" s="1394" t="s">
        <v>1564</v>
      </c>
      <c r="K75" s="1393">
        <v>2114</v>
      </c>
      <c r="L75" s="1394" t="s">
        <v>1665</v>
      </c>
      <c r="M75" s="1394" t="s">
        <v>1172</v>
      </c>
    </row>
    <row r="76" spans="4:13" ht="15" hidden="1">
      <c r="D76" s="1393">
        <v>2866</v>
      </c>
      <c r="E76" s="1394" t="s">
        <v>1666</v>
      </c>
      <c r="F76" s="1394" t="s">
        <v>145</v>
      </c>
      <c r="G76" s="1395">
        <v>41084</v>
      </c>
      <c r="H76" s="470"/>
      <c r="I76" s="1394" t="s">
        <v>961</v>
      </c>
      <c r="J76" s="1394" t="s">
        <v>114</v>
      </c>
      <c r="K76" s="1393">
        <v>2126</v>
      </c>
      <c r="L76" s="1394" t="s">
        <v>1667</v>
      </c>
      <c r="M76" s="1394" t="s">
        <v>1544</v>
      </c>
    </row>
    <row r="77" spans="4:13" ht="30" hidden="1">
      <c r="D77" s="1393">
        <v>2904</v>
      </c>
      <c r="E77" s="1394" t="s">
        <v>1668</v>
      </c>
      <c r="F77" s="1394" t="s">
        <v>1669</v>
      </c>
      <c r="G77" s="1395">
        <v>41150</v>
      </c>
      <c r="H77" s="1396">
        <v>41135</v>
      </c>
      <c r="I77" s="1394" t="s">
        <v>961</v>
      </c>
      <c r="J77" s="1394" t="s">
        <v>1564</v>
      </c>
      <c r="K77" s="1393">
        <v>2134</v>
      </c>
      <c r="L77" s="1394" t="s">
        <v>1670</v>
      </c>
      <c r="M77" s="1394" t="s">
        <v>1544</v>
      </c>
    </row>
    <row r="78" spans="4:13" ht="30" hidden="1">
      <c r="D78" s="1393">
        <v>2937</v>
      </c>
      <c r="E78" s="1394" t="s">
        <v>1671</v>
      </c>
      <c r="F78" s="1394" t="s">
        <v>146</v>
      </c>
      <c r="G78" s="1395">
        <v>41205</v>
      </c>
      <c r="H78" s="470"/>
      <c r="I78" s="1394" t="s">
        <v>961</v>
      </c>
      <c r="J78" s="1394" t="s">
        <v>114</v>
      </c>
      <c r="K78" s="1393">
        <v>2141</v>
      </c>
      <c r="L78" s="1394" t="s">
        <v>1672</v>
      </c>
      <c r="M78" s="1394" t="s">
        <v>1544</v>
      </c>
    </row>
    <row r="79" spans="4:13" ht="30">
      <c r="D79" s="1393">
        <v>3223</v>
      </c>
      <c r="E79" s="1394" t="s">
        <v>1673</v>
      </c>
      <c r="F79" s="1394" t="s">
        <v>387</v>
      </c>
      <c r="G79" s="1395">
        <v>41423</v>
      </c>
      <c r="H79" s="470"/>
      <c r="I79" s="1394" t="s">
        <v>961</v>
      </c>
      <c r="J79" s="1394" t="s">
        <v>1564</v>
      </c>
      <c r="K79" s="1393">
        <v>2193</v>
      </c>
      <c r="L79" s="1394" t="s">
        <v>1674</v>
      </c>
      <c r="M79" s="1394" t="s">
        <v>1172</v>
      </c>
    </row>
    <row r="80" spans="4:13" ht="45">
      <c r="D80" s="1393">
        <v>3627</v>
      </c>
      <c r="E80" s="1394" t="s">
        <v>1675</v>
      </c>
      <c r="F80" s="1394" t="s">
        <v>398</v>
      </c>
      <c r="G80" s="1395">
        <v>41485</v>
      </c>
      <c r="H80" s="470"/>
      <c r="I80" s="1394" t="s">
        <v>961</v>
      </c>
      <c r="J80" s="1394" t="s">
        <v>1564</v>
      </c>
      <c r="K80" s="1393">
        <v>2215</v>
      </c>
      <c r="L80" s="1394" t="s">
        <v>1676</v>
      </c>
      <c r="M80" s="1394" t="s">
        <v>1172</v>
      </c>
    </row>
    <row r="81" spans="4:13" ht="45">
      <c r="D81" s="1393">
        <v>4248</v>
      </c>
      <c r="E81" s="1394" t="s">
        <v>1677</v>
      </c>
      <c r="F81" s="1394" t="s">
        <v>1678</v>
      </c>
      <c r="G81" s="1395">
        <v>41485</v>
      </c>
      <c r="H81" s="470"/>
      <c r="I81" s="1394" t="s">
        <v>961</v>
      </c>
      <c r="J81" s="1394" t="s">
        <v>1564</v>
      </c>
      <c r="K81" s="1393">
        <v>2245</v>
      </c>
      <c r="L81" s="1394" t="s">
        <v>1679</v>
      </c>
      <c r="M81" s="1394" t="s">
        <v>1172</v>
      </c>
    </row>
    <row r="82" spans="4:13" ht="105" hidden="1">
      <c r="D82" s="1393">
        <v>4950</v>
      </c>
      <c r="E82" s="1394" t="s">
        <v>1680</v>
      </c>
      <c r="F82" s="1394" t="s">
        <v>147</v>
      </c>
      <c r="G82" s="1395">
        <v>41057</v>
      </c>
      <c r="H82" s="1396">
        <v>41007</v>
      </c>
      <c r="I82" s="1394" t="s">
        <v>961</v>
      </c>
      <c r="J82" s="1394" t="s">
        <v>114</v>
      </c>
      <c r="K82" s="1393">
        <v>2285</v>
      </c>
      <c r="L82" s="1394" t="s">
        <v>1681</v>
      </c>
      <c r="M82" s="1394" t="s">
        <v>1544</v>
      </c>
    </row>
    <row r="83" spans="4:13" ht="15" hidden="1">
      <c r="D83" s="1393">
        <v>5160</v>
      </c>
      <c r="E83" s="1394" t="s">
        <v>1682</v>
      </c>
      <c r="F83" s="1394" t="s">
        <v>148</v>
      </c>
      <c r="G83" s="1395">
        <v>41204</v>
      </c>
      <c r="H83" s="1396">
        <v>41147</v>
      </c>
      <c r="I83" s="1394" t="s">
        <v>961</v>
      </c>
      <c r="J83" s="1394" t="s">
        <v>114</v>
      </c>
      <c r="K83" s="1393">
        <v>2313</v>
      </c>
      <c r="L83" s="1394" t="s">
        <v>1683</v>
      </c>
      <c r="M83" s="1394" t="s">
        <v>1544</v>
      </c>
    </row>
    <row r="84" spans="4:13" ht="30" hidden="1">
      <c r="D84" s="1393">
        <v>5216</v>
      </c>
      <c r="E84" s="1394" t="s">
        <v>1684</v>
      </c>
      <c r="F84" s="1394" t="s">
        <v>1685</v>
      </c>
      <c r="G84" s="1395">
        <v>41039</v>
      </c>
      <c r="H84" s="470"/>
      <c r="I84" s="1394" t="s">
        <v>961</v>
      </c>
      <c r="J84" s="1394" t="s">
        <v>114</v>
      </c>
      <c r="K84" s="1393">
        <v>2330</v>
      </c>
      <c r="L84" s="1394" t="s">
        <v>1686</v>
      </c>
      <c r="M84" s="1394" t="s">
        <v>1544</v>
      </c>
    </row>
    <row r="85" spans="4:13" ht="30" hidden="1">
      <c r="D85" s="1393">
        <v>5217</v>
      </c>
      <c r="E85" s="1394" t="s">
        <v>1687</v>
      </c>
      <c r="F85" s="1394" t="s">
        <v>1688</v>
      </c>
      <c r="G85" s="1395">
        <v>41039</v>
      </c>
      <c r="H85" s="470"/>
      <c r="I85" s="1394" t="s">
        <v>961</v>
      </c>
      <c r="J85" s="1394" t="s">
        <v>114</v>
      </c>
      <c r="K85" s="1393">
        <v>2331</v>
      </c>
      <c r="L85" s="1394" t="s">
        <v>1689</v>
      </c>
      <c r="M85" s="1394" t="s">
        <v>1544</v>
      </c>
    </row>
    <row r="86" spans="4:13" ht="45">
      <c r="D86" s="1393">
        <v>5274</v>
      </c>
      <c r="E86" s="1394" t="s">
        <v>1690</v>
      </c>
      <c r="F86" s="1394" t="s">
        <v>149</v>
      </c>
      <c r="G86" s="1395">
        <v>41393</v>
      </c>
      <c r="H86" s="470"/>
      <c r="I86" s="1394" t="s">
        <v>961</v>
      </c>
      <c r="J86" s="1394" t="s">
        <v>1564</v>
      </c>
      <c r="K86" s="1393">
        <v>2339</v>
      </c>
      <c r="L86" s="1394" t="s">
        <v>1691</v>
      </c>
      <c r="M86" s="1394" t="s">
        <v>1172</v>
      </c>
    </row>
    <row r="87" spans="4:13" ht="45">
      <c r="D87" s="1393">
        <v>5351</v>
      </c>
      <c r="E87" s="1394" t="s">
        <v>1692</v>
      </c>
      <c r="F87" s="1394" t="s">
        <v>150</v>
      </c>
      <c r="G87" s="1395">
        <v>41212</v>
      </c>
      <c r="H87" s="470"/>
      <c r="I87" s="1394" t="s">
        <v>961</v>
      </c>
      <c r="J87" s="1394" t="s">
        <v>1564</v>
      </c>
      <c r="K87" s="1393">
        <v>2340</v>
      </c>
      <c r="L87" s="1394" t="s">
        <v>1693</v>
      </c>
      <c r="M87" s="1394" t="s">
        <v>1172</v>
      </c>
    </row>
    <row r="88" spans="4:13" ht="60">
      <c r="D88" s="1393">
        <v>5352</v>
      </c>
      <c r="E88" s="1394" t="s">
        <v>1694</v>
      </c>
      <c r="F88" s="1394" t="s">
        <v>310</v>
      </c>
      <c r="G88" s="1395">
        <v>41182</v>
      </c>
      <c r="H88" s="470"/>
      <c r="I88" s="1394" t="s">
        <v>961</v>
      </c>
      <c r="J88" s="1394" t="s">
        <v>1564</v>
      </c>
      <c r="K88" s="1393">
        <v>2341</v>
      </c>
      <c r="L88" s="1394" t="s">
        <v>1695</v>
      </c>
      <c r="M88" s="1394" t="s">
        <v>1172</v>
      </c>
    </row>
    <row r="89" spans="4:13" ht="45">
      <c r="D89" s="1393">
        <v>5353</v>
      </c>
      <c r="E89" s="1394" t="s">
        <v>1696</v>
      </c>
      <c r="F89" s="1394" t="s">
        <v>151</v>
      </c>
      <c r="G89" s="1395">
        <v>41182</v>
      </c>
      <c r="H89" s="470"/>
      <c r="I89" s="1394" t="s">
        <v>961</v>
      </c>
      <c r="J89" s="1394" t="s">
        <v>1564</v>
      </c>
      <c r="K89" s="1393">
        <v>2342</v>
      </c>
      <c r="L89" s="1394" t="s">
        <v>1697</v>
      </c>
      <c r="M89" s="1394" t="s">
        <v>1172</v>
      </c>
    </row>
    <row r="90" spans="4:13" ht="30">
      <c r="D90" s="1393">
        <v>5355</v>
      </c>
      <c r="E90" s="1394" t="s">
        <v>1698</v>
      </c>
      <c r="F90" s="1394" t="s">
        <v>321</v>
      </c>
      <c r="G90" s="1395">
        <v>41182</v>
      </c>
      <c r="H90" s="470"/>
      <c r="I90" s="1394" t="s">
        <v>961</v>
      </c>
      <c r="J90" s="1394" t="s">
        <v>1564</v>
      </c>
      <c r="K90" s="1393">
        <v>2343</v>
      </c>
      <c r="L90" s="1394" t="s">
        <v>1699</v>
      </c>
      <c r="M90" s="1394" t="s">
        <v>1172</v>
      </c>
    </row>
    <row r="91" spans="4:13" ht="30">
      <c r="D91" s="1393">
        <v>5363</v>
      </c>
      <c r="E91" s="1394" t="s">
        <v>1700</v>
      </c>
      <c r="F91" s="1394" t="s">
        <v>328</v>
      </c>
      <c r="G91" s="1395">
        <v>41182</v>
      </c>
      <c r="H91" s="470"/>
      <c r="I91" s="1394" t="s">
        <v>961</v>
      </c>
      <c r="J91" s="1394" t="s">
        <v>1564</v>
      </c>
      <c r="K91" s="1393">
        <v>2344</v>
      </c>
      <c r="L91" s="1394" t="s">
        <v>1701</v>
      </c>
      <c r="M91" s="1394" t="s">
        <v>1172</v>
      </c>
    </row>
    <row r="92" spans="4:13" ht="30">
      <c r="D92" s="1393">
        <v>5364</v>
      </c>
      <c r="E92" s="1394" t="s">
        <v>1702</v>
      </c>
      <c r="F92" s="1394" t="s">
        <v>333</v>
      </c>
      <c r="G92" s="1395">
        <v>41182</v>
      </c>
      <c r="H92" s="470"/>
      <c r="I92" s="1394" t="s">
        <v>961</v>
      </c>
      <c r="J92" s="1394" t="s">
        <v>1564</v>
      </c>
      <c r="K92" s="1393">
        <v>2345</v>
      </c>
      <c r="L92" s="1394" t="s">
        <v>1703</v>
      </c>
      <c r="M92" s="1394" t="s">
        <v>1172</v>
      </c>
    </row>
    <row r="93" spans="4:13" ht="30">
      <c r="D93" s="1393">
        <v>5365</v>
      </c>
      <c r="E93" s="1394" t="s">
        <v>1704</v>
      </c>
      <c r="F93" s="1394" t="s">
        <v>339</v>
      </c>
      <c r="G93" s="1395">
        <v>41182</v>
      </c>
      <c r="H93" s="470"/>
      <c r="I93" s="1394" t="s">
        <v>961</v>
      </c>
      <c r="J93" s="1394" t="s">
        <v>1564</v>
      </c>
      <c r="K93" s="1393">
        <v>2346</v>
      </c>
      <c r="L93" s="1394" t="s">
        <v>1705</v>
      </c>
      <c r="M93" s="1394" t="s">
        <v>1172</v>
      </c>
    </row>
    <row r="94" spans="4:13" ht="45">
      <c r="D94" s="1393">
        <v>5366</v>
      </c>
      <c r="E94" s="1394" t="s">
        <v>1706</v>
      </c>
      <c r="F94" s="1394" t="s">
        <v>153</v>
      </c>
      <c r="G94" s="1395">
        <v>41182</v>
      </c>
      <c r="H94" s="470"/>
      <c r="I94" s="1394" t="s">
        <v>961</v>
      </c>
      <c r="J94" s="1394" t="s">
        <v>1564</v>
      </c>
      <c r="K94" s="1393">
        <v>2347</v>
      </c>
      <c r="L94" s="1394" t="s">
        <v>1707</v>
      </c>
      <c r="M94" s="1394" t="s">
        <v>1172</v>
      </c>
    </row>
    <row r="95" spans="4:13" ht="30">
      <c r="D95" s="1393">
        <v>5367</v>
      </c>
      <c r="E95" s="1394" t="s">
        <v>1708</v>
      </c>
      <c r="F95" s="1394" t="s">
        <v>9</v>
      </c>
      <c r="G95" s="1395">
        <v>40899</v>
      </c>
      <c r="H95" s="470"/>
      <c r="I95" s="1394" t="s">
        <v>961</v>
      </c>
      <c r="J95" s="1394" t="s">
        <v>1564</v>
      </c>
      <c r="K95" s="1393">
        <v>2348</v>
      </c>
      <c r="L95" s="1394" t="s">
        <v>1709</v>
      </c>
      <c r="M95" s="1394" t="s">
        <v>1172</v>
      </c>
    </row>
    <row r="96" spans="4:13" ht="30">
      <c r="D96" s="1393">
        <v>5368</v>
      </c>
      <c r="E96" s="1394" t="s">
        <v>1710</v>
      </c>
      <c r="F96" s="1394" t="s">
        <v>344</v>
      </c>
      <c r="G96" s="1395">
        <v>41182</v>
      </c>
      <c r="H96" s="470"/>
      <c r="I96" s="1394" t="s">
        <v>961</v>
      </c>
      <c r="J96" s="1394" t="s">
        <v>1564</v>
      </c>
      <c r="K96" s="1393">
        <v>2349</v>
      </c>
      <c r="L96" s="1394" t="s">
        <v>1711</v>
      </c>
      <c r="M96" s="1394" t="s">
        <v>1172</v>
      </c>
    </row>
    <row r="97" spans="4:13" ht="30">
      <c r="D97" s="1393">
        <v>5369</v>
      </c>
      <c r="E97" s="1394" t="s">
        <v>1712</v>
      </c>
      <c r="F97" s="1394" t="s">
        <v>349</v>
      </c>
      <c r="G97" s="1395">
        <v>41182</v>
      </c>
      <c r="H97" s="470"/>
      <c r="I97" s="1394" t="s">
        <v>961</v>
      </c>
      <c r="J97" s="1394" t="s">
        <v>1564</v>
      </c>
      <c r="K97" s="1393">
        <v>2350</v>
      </c>
      <c r="L97" s="1394" t="s">
        <v>1713</v>
      </c>
      <c r="M97" s="1394" t="s">
        <v>1172</v>
      </c>
    </row>
    <row r="98" spans="4:13" ht="30">
      <c r="D98" s="1393">
        <v>5370</v>
      </c>
      <c r="E98" s="1394" t="s">
        <v>1714</v>
      </c>
      <c r="F98" s="1394" t="s">
        <v>154</v>
      </c>
      <c r="G98" s="1395">
        <v>41182</v>
      </c>
      <c r="H98" s="470"/>
      <c r="I98" s="1394" t="s">
        <v>961</v>
      </c>
      <c r="J98" s="1394" t="s">
        <v>1564</v>
      </c>
      <c r="K98" s="1393">
        <v>2351</v>
      </c>
      <c r="L98" s="1394" t="s">
        <v>1715</v>
      </c>
      <c r="M98" s="1394" t="s">
        <v>1172</v>
      </c>
    </row>
    <row r="99" spans="4:13" ht="30">
      <c r="D99" s="1393">
        <v>5371</v>
      </c>
      <c r="E99" s="1394" t="s">
        <v>1716</v>
      </c>
      <c r="F99" s="1394" t="s">
        <v>358</v>
      </c>
      <c r="G99" s="1395">
        <v>41182</v>
      </c>
      <c r="H99" s="470"/>
      <c r="I99" s="1394" t="s">
        <v>961</v>
      </c>
      <c r="J99" s="1394" t="s">
        <v>1564</v>
      </c>
      <c r="K99" s="1393">
        <v>2352</v>
      </c>
      <c r="L99" s="1394" t="s">
        <v>1717</v>
      </c>
      <c r="M99" s="1394" t="s">
        <v>1172</v>
      </c>
    </row>
    <row r="100" spans="4:13" ht="30">
      <c r="D100" s="1393">
        <v>5373</v>
      </c>
      <c r="E100" s="1394" t="s">
        <v>1718</v>
      </c>
      <c r="F100" s="1394" t="s">
        <v>365</v>
      </c>
      <c r="G100" s="1395">
        <v>41182</v>
      </c>
      <c r="H100" s="470"/>
      <c r="I100" s="1394" t="s">
        <v>961</v>
      </c>
      <c r="J100" s="1394" t="s">
        <v>1564</v>
      </c>
      <c r="K100" s="1393">
        <v>2353</v>
      </c>
      <c r="L100" s="1394" t="s">
        <v>1719</v>
      </c>
      <c r="M100" s="1394" t="s">
        <v>1172</v>
      </c>
    </row>
    <row r="101" spans="4:13" ht="45">
      <c r="D101" s="1393">
        <v>5377</v>
      </c>
      <c r="E101" s="1394" t="s">
        <v>1720</v>
      </c>
      <c r="F101" s="1394" t="s">
        <v>309</v>
      </c>
      <c r="G101" s="1395">
        <v>41393</v>
      </c>
      <c r="H101" s="470"/>
      <c r="I101" s="1394" t="s">
        <v>961</v>
      </c>
      <c r="J101" s="1394" t="s">
        <v>1564</v>
      </c>
      <c r="K101" s="1393">
        <v>2355</v>
      </c>
      <c r="L101" s="1394" t="s">
        <v>1721</v>
      </c>
      <c r="M101" s="1394" t="s">
        <v>1172</v>
      </c>
    </row>
    <row r="102" spans="4:13" ht="45">
      <c r="D102" s="1393">
        <v>5378</v>
      </c>
      <c r="E102" s="1394" t="s">
        <v>1722</v>
      </c>
      <c r="F102" s="1394" t="s">
        <v>241</v>
      </c>
      <c r="G102" s="1395">
        <v>41393</v>
      </c>
      <c r="H102" s="470"/>
      <c r="I102" s="1394" t="s">
        <v>961</v>
      </c>
      <c r="J102" s="1394" t="s">
        <v>1564</v>
      </c>
      <c r="K102" s="1393">
        <v>2356</v>
      </c>
      <c r="L102" s="1394" t="s">
        <v>1723</v>
      </c>
      <c r="M102" s="1394" t="s">
        <v>1172</v>
      </c>
    </row>
    <row r="103" spans="4:13" ht="45">
      <c r="D103" s="1393">
        <v>5379</v>
      </c>
      <c r="E103" s="1394" t="s">
        <v>1724</v>
      </c>
      <c r="F103" s="1394" t="s">
        <v>277</v>
      </c>
      <c r="G103" s="1395">
        <v>41212</v>
      </c>
      <c r="H103" s="470"/>
      <c r="I103" s="1394" t="s">
        <v>961</v>
      </c>
      <c r="J103" s="1394" t="s">
        <v>1564</v>
      </c>
      <c r="K103" s="1393">
        <v>2357</v>
      </c>
      <c r="L103" s="1394" t="s">
        <v>1725</v>
      </c>
      <c r="M103" s="1394" t="s">
        <v>1172</v>
      </c>
    </row>
    <row r="104" spans="4:13" ht="45">
      <c r="D104" s="1393">
        <v>5381</v>
      </c>
      <c r="E104" s="1394" t="s">
        <v>1726</v>
      </c>
      <c r="F104" s="1394" t="s">
        <v>220</v>
      </c>
      <c r="G104" s="1395">
        <v>41152</v>
      </c>
      <c r="H104" s="470"/>
      <c r="I104" s="1394" t="s">
        <v>961</v>
      </c>
      <c r="J104" s="1394" t="s">
        <v>1564</v>
      </c>
      <c r="K104" s="1393">
        <v>2358</v>
      </c>
      <c r="L104" s="1394" t="s">
        <v>1727</v>
      </c>
      <c r="M104" s="1394" t="s">
        <v>1172</v>
      </c>
    </row>
    <row r="105" spans="4:13" ht="45">
      <c r="D105" s="1393">
        <v>5382</v>
      </c>
      <c r="E105" s="1394" t="s">
        <v>1728</v>
      </c>
      <c r="F105" s="1394" t="s">
        <v>246</v>
      </c>
      <c r="G105" s="1395">
        <v>41101</v>
      </c>
      <c r="H105" s="470"/>
      <c r="I105" s="1394" t="s">
        <v>961</v>
      </c>
      <c r="J105" s="1394" t="s">
        <v>1564</v>
      </c>
      <c r="K105" s="1393">
        <v>2359</v>
      </c>
      <c r="L105" s="1394" t="s">
        <v>1729</v>
      </c>
      <c r="M105" s="1394" t="s">
        <v>1172</v>
      </c>
    </row>
    <row r="106" spans="4:13" ht="45">
      <c r="D106" s="1393">
        <v>5384</v>
      </c>
      <c r="E106" s="1394" t="s">
        <v>1730</v>
      </c>
      <c r="F106" s="1394" t="s">
        <v>266</v>
      </c>
      <c r="G106" s="1395">
        <v>41423</v>
      </c>
      <c r="H106" s="470"/>
      <c r="I106" s="1394" t="s">
        <v>961</v>
      </c>
      <c r="J106" s="1394" t="s">
        <v>1564</v>
      </c>
      <c r="K106" s="1393">
        <v>2360</v>
      </c>
      <c r="L106" s="1394" t="s">
        <v>1731</v>
      </c>
      <c r="M106" s="1394" t="s">
        <v>1172</v>
      </c>
    </row>
    <row r="107" spans="4:13" ht="45">
      <c r="D107" s="1393">
        <v>5385</v>
      </c>
      <c r="E107" s="1394" t="s">
        <v>1732</v>
      </c>
      <c r="F107" s="1394" t="s">
        <v>271</v>
      </c>
      <c r="G107" s="1395">
        <v>41379</v>
      </c>
      <c r="H107" s="470"/>
      <c r="I107" s="1394" t="s">
        <v>961</v>
      </c>
      <c r="J107" s="1394" t="s">
        <v>1564</v>
      </c>
      <c r="K107" s="1393">
        <v>2361</v>
      </c>
      <c r="L107" s="1394" t="s">
        <v>1733</v>
      </c>
      <c r="M107" s="1394" t="s">
        <v>1172</v>
      </c>
    </row>
    <row r="108" spans="4:13" ht="45">
      <c r="D108" s="1393">
        <v>5386</v>
      </c>
      <c r="E108" s="1394" t="s">
        <v>1734</v>
      </c>
      <c r="F108" s="1394" t="s">
        <v>236</v>
      </c>
      <c r="G108" s="1395">
        <v>41212</v>
      </c>
      <c r="H108" s="470"/>
      <c r="I108" s="1394" t="s">
        <v>961</v>
      </c>
      <c r="J108" s="1394" t="s">
        <v>1564</v>
      </c>
      <c r="K108" s="1393">
        <v>2362</v>
      </c>
      <c r="L108" s="1394" t="s">
        <v>1735</v>
      </c>
      <c r="M108" s="1394" t="s">
        <v>1172</v>
      </c>
    </row>
    <row r="109" spans="4:13" ht="15" hidden="1">
      <c r="D109" s="1393">
        <v>5697</v>
      </c>
      <c r="E109" s="1394" t="s">
        <v>1736</v>
      </c>
      <c r="F109" s="1394" t="s">
        <v>156</v>
      </c>
      <c r="G109" s="1395">
        <v>41143</v>
      </c>
      <c r="H109" s="1396">
        <v>41128</v>
      </c>
      <c r="I109" s="1394" t="s">
        <v>961</v>
      </c>
      <c r="J109" s="1394" t="s">
        <v>114</v>
      </c>
      <c r="K109" s="1393">
        <v>2382</v>
      </c>
      <c r="L109" s="1394" t="s">
        <v>1737</v>
      </c>
      <c r="M109" s="1394" t="s">
        <v>1544</v>
      </c>
    </row>
    <row r="110" spans="4:13" ht="30" hidden="1">
      <c r="D110" s="1393">
        <v>5707</v>
      </c>
      <c r="E110" s="1394" t="s">
        <v>1738</v>
      </c>
      <c r="F110" s="1394" t="s">
        <v>157</v>
      </c>
      <c r="G110" s="1395">
        <v>41235</v>
      </c>
      <c r="H110" s="1396">
        <v>41207</v>
      </c>
      <c r="I110" s="1394" t="s">
        <v>961</v>
      </c>
      <c r="J110" s="1394" t="s">
        <v>114</v>
      </c>
      <c r="K110" s="1393">
        <v>2386</v>
      </c>
      <c r="L110" s="1394" t="s">
        <v>1739</v>
      </c>
      <c r="M110" s="1394" t="s">
        <v>1544</v>
      </c>
    </row>
    <row r="111" spans="4:13" ht="15" hidden="1">
      <c r="D111" s="1393">
        <v>6072</v>
      </c>
      <c r="E111" s="1394" t="s">
        <v>1740</v>
      </c>
      <c r="F111" s="1394" t="s">
        <v>1741</v>
      </c>
      <c r="G111" s="1395">
        <v>41204</v>
      </c>
      <c r="H111" s="1396">
        <v>41164</v>
      </c>
      <c r="I111" s="1394" t="s">
        <v>961</v>
      </c>
      <c r="J111" s="1394" t="s">
        <v>114</v>
      </c>
      <c r="K111" s="1393">
        <v>2407</v>
      </c>
      <c r="L111" s="1394" t="s">
        <v>1742</v>
      </c>
      <c r="M111" s="1394" t="s">
        <v>1544</v>
      </c>
    </row>
    <row r="112" spans="4:13" ht="30" hidden="1">
      <c r="D112" s="1393">
        <v>6585</v>
      </c>
      <c r="E112" s="1394" t="s">
        <v>1743</v>
      </c>
      <c r="F112" s="1394" t="s">
        <v>158</v>
      </c>
      <c r="G112" s="1395">
        <v>41082</v>
      </c>
      <c r="H112" s="1396">
        <v>41078</v>
      </c>
      <c r="I112" s="1394" t="s">
        <v>961</v>
      </c>
      <c r="J112" s="1394" t="s">
        <v>114</v>
      </c>
      <c r="K112" s="1393">
        <v>2444</v>
      </c>
      <c r="L112" s="1394" t="s">
        <v>1744</v>
      </c>
      <c r="M112" s="1394" t="s">
        <v>1544</v>
      </c>
    </row>
    <row r="113" spans="4:13" ht="30" hidden="1">
      <c r="D113" s="1393">
        <v>6587</v>
      </c>
      <c r="E113" s="1394" t="s">
        <v>1745</v>
      </c>
      <c r="F113" s="1394" t="s">
        <v>159</v>
      </c>
      <c r="G113" s="1395">
        <v>41021</v>
      </c>
      <c r="H113" s="470"/>
      <c r="I113" s="1394" t="s">
        <v>961</v>
      </c>
      <c r="J113" s="1394" t="s">
        <v>114</v>
      </c>
      <c r="K113" s="1393">
        <v>2445</v>
      </c>
      <c r="L113" s="1394" t="s">
        <v>1746</v>
      </c>
      <c r="M113" s="1394" t="s">
        <v>1544</v>
      </c>
    </row>
    <row r="114" spans="4:13" ht="30" hidden="1">
      <c r="D114" s="1393">
        <v>6600</v>
      </c>
      <c r="E114" s="1394" t="s">
        <v>1747</v>
      </c>
      <c r="F114" s="1394" t="s">
        <v>160</v>
      </c>
      <c r="G114" s="1395">
        <v>41149</v>
      </c>
      <c r="H114" s="470"/>
      <c r="I114" s="1394" t="s">
        <v>961</v>
      </c>
      <c r="J114" s="1394" t="s">
        <v>114</v>
      </c>
      <c r="K114" s="1393">
        <v>2452</v>
      </c>
      <c r="L114" s="1394" t="s">
        <v>1748</v>
      </c>
      <c r="M114" s="1394" t="s">
        <v>1544</v>
      </c>
    </row>
    <row r="115" spans="4:13" ht="60">
      <c r="D115" s="1393">
        <v>6609</v>
      </c>
      <c r="E115" s="1394" t="s">
        <v>1749</v>
      </c>
      <c r="F115" s="1394" t="s">
        <v>259</v>
      </c>
      <c r="G115" s="1395">
        <v>41411</v>
      </c>
      <c r="H115" s="470"/>
      <c r="I115" s="1394" t="s">
        <v>961</v>
      </c>
      <c r="J115" s="1394" t="s">
        <v>1564</v>
      </c>
      <c r="K115" s="1393">
        <v>2455</v>
      </c>
      <c r="L115" s="1394" t="s">
        <v>1750</v>
      </c>
      <c r="M115" s="1394" t="s">
        <v>1172</v>
      </c>
    </row>
    <row r="116" spans="4:13" ht="45">
      <c r="D116" s="1393">
        <v>6610</v>
      </c>
      <c r="E116" s="1394" t="s">
        <v>1751</v>
      </c>
      <c r="F116" s="1394" t="s">
        <v>253</v>
      </c>
      <c r="G116" s="1395">
        <v>41243</v>
      </c>
      <c r="H116" s="470"/>
      <c r="I116" s="1394" t="s">
        <v>961</v>
      </c>
      <c r="J116" s="1394" t="s">
        <v>1564</v>
      </c>
      <c r="K116" s="1393">
        <v>2456</v>
      </c>
      <c r="L116" s="1394" t="s">
        <v>1752</v>
      </c>
      <c r="M116" s="1394" t="s">
        <v>1172</v>
      </c>
    </row>
    <row r="117" spans="4:13" ht="30" hidden="1">
      <c r="D117" s="1393">
        <v>6611</v>
      </c>
      <c r="E117" s="1394" t="s">
        <v>1753</v>
      </c>
      <c r="F117" s="1394" t="s">
        <v>162</v>
      </c>
      <c r="G117" s="1395">
        <v>40943</v>
      </c>
      <c r="H117" s="470"/>
      <c r="I117" s="1394" t="s">
        <v>961</v>
      </c>
      <c r="J117" s="1394" t="s">
        <v>114</v>
      </c>
      <c r="K117" s="1393">
        <v>2457</v>
      </c>
      <c r="L117" s="1394" t="s">
        <v>1754</v>
      </c>
      <c r="M117" s="1394" t="s">
        <v>1544</v>
      </c>
    </row>
    <row r="118" spans="4:13" ht="30" hidden="1">
      <c r="D118" s="1393">
        <v>6612</v>
      </c>
      <c r="E118" s="1394" t="s">
        <v>1755</v>
      </c>
      <c r="F118" s="1394" t="s">
        <v>163</v>
      </c>
      <c r="G118" s="1395">
        <v>41082</v>
      </c>
      <c r="H118" s="1396">
        <v>41078</v>
      </c>
      <c r="I118" s="1394" t="s">
        <v>961</v>
      </c>
      <c r="J118" s="1394" t="s">
        <v>1564</v>
      </c>
      <c r="K118" s="1393">
        <v>2458</v>
      </c>
      <c r="L118" s="1394" t="s">
        <v>1756</v>
      </c>
      <c r="M118" s="1394" t="s">
        <v>1544</v>
      </c>
    </row>
    <row r="119" spans="4:13" ht="30">
      <c r="D119" s="1393">
        <v>6896</v>
      </c>
      <c r="E119" s="1394" t="s">
        <v>1757</v>
      </c>
      <c r="F119" s="1394" t="s">
        <v>252</v>
      </c>
      <c r="G119" s="1395">
        <v>41182</v>
      </c>
      <c r="H119" s="470"/>
      <c r="I119" s="1394" t="s">
        <v>961</v>
      </c>
      <c r="J119" s="1394" t="s">
        <v>1564</v>
      </c>
      <c r="K119" s="1393">
        <v>2479</v>
      </c>
      <c r="L119" s="1394" t="s">
        <v>1758</v>
      </c>
      <c r="M119" s="1394" t="s">
        <v>1172</v>
      </c>
    </row>
    <row r="120" spans="4:13" ht="45">
      <c r="D120" s="1393">
        <v>6897</v>
      </c>
      <c r="E120" s="1394" t="s">
        <v>1759</v>
      </c>
      <c r="F120" s="1394" t="s">
        <v>1760</v>
      </c>
      <c r="G120" s="1395">
        <v>41182</v>
      </c>
      <c r="H120" s="470"/>
      <c r="I120" s="1394" t="s">
        <v>961</v>
      </c>
      <c r="J120" s="1394" t="s">
        <v>1564</v>
      </c>
      <c r="K120" s="1393">
        <v>2480</v>
      </c>
      <c r="L120" s="1394" t="s">
        <v>1761</v>
      </c>
      <c r="M120" s="1394" t="s">
        <v>1172</v>
      </c>
    </row>
    <row r="121" spans="4:13" ht="30">
      <c r="D121" s="1393">
        <v>6898</v>
      </c>
      <c r="E121" s="1394" t="s">
        <v>1762</v>
      </c>
      <c r="F121" s="1394" t="s">
        <v>299</v>
      </c>
      <c r="G121" s="1395">
        <v>41182</v>
      </c>
      <c r="H121" s="470"/>
      <c r="I121" s="1394" t="s">
        <v>961</v>
      </c>
      <c r="J121" s="1394" t="s">
        <v>1564</v>
      </c>
      <c r="K121" s="1393">
        <v>2481</v>
      </c>
      <c r="L121" s="1394" t="s">
        <v>1763</v>
      </c>
      <c r="M121" s="1394" t="s">
        <v>1172</v>
      </c>
    </row>
    <row r="122" spans="4:13" ht="30">
      <c r="D122" s="1393">
        <v>7016</v>
      </c>
      <c r="E122" s="1394" t="s">
        <v>1764</v>
      </c>
      <c r="F122" s="1394" t="s">
        <v>370</v>
      </c>
      <c r="G122" s="1395">
        <v>41182</v>
      </c>
      <c r="H122" s="470"/>
      <c r="I122" s="1394" t="s">
        <v>961</v>
      </c>
      <c r="J122" s="1394" t="s">
        <v>1564</v>
      </c>
      <c r="K122" s="1393">
        <v>2496</v>
      </c>
      <c r="L122" s="1394" t="s">
        <v>1765</v>
      </c>
      <c r="M122" s="1394" t="s">
        <v>1172</v>
      </c>
    </row>
    <row r="123" spans="4:13" ht="30" hidden="1">
      <c r="D123" s="1393">
        <v>7019</v>
      </c>
      <c r="E123" s="1394" t="s">
        <v>1766</v>
      </c>
      <c r="F123" s="1394" t="s">
        <v>164</v>
      </c>
      <c r="G123" s="1395">
        <v>41214</v>
      </c>
      <c r="H123" s="1396">
        <v>41214</v>
      </c>
      <c r="I123" s="1394" t="s">
        <v>961</v>
      </c>
      <c r="J123" s="1394" t="s">
        <v>114</v>
      </c>
      <c r="K123" s="1393">
        <v>2497</v>
      </c>
      <c r="L123" s="1394" t="s">
        <v>1767</v>
      </c>
      <c r="M123" s="1394" t="s">
        <v>1544</v>
      </c>
    </row>
    <row r="124" spans="4:13" ht="30">
      <c r="D124" s="1393">
        <v>7371</v>
      </c>
      <c r="E124" s="1394" t="s">
        <v>1768</v>
      </c>
      <c r="F124" s="1394" t="s">
        <v>165</v>
      </c>
      <c r="G124" s="1395">
        <v>41485</v>
      </c>
      <c r="H124" s="470"/>
      <c r="I124" s="1394" t="s">
        <v>961</v>
      </c>
      <c r="J124" s="1394" t="s">
        <v>1564</v>
      </c>
      <c r="K124" s="1393">
        <v>2527</v>
      </c>
      <c r="L124" s="1394" t="s">
        <v>1769</v>
      </c>
      <c r="M124" s="1394" t="s">
        <v>1172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1770</v>
      </c>
      <c r="G3" s="424" t="s">
        <v>1771</v>
      </c>
    </row>
    <row r="4" spans="2:7">
      <c r="B4" s="435" t="s">
        <v>1772</v>
      </c>
      <c r="C4" s="435" t="s">
        <v>1773</v>
      </c>
      <c r="D4" s="435" t="s">
        <v>854</v>
      </c>
      <c r="E4" s="424"/>
      <c r="F4" s="1397" t="s">
        <v>1774</v>
      </c>
      <c r="G4" s="1398" t="e">
        <f>(C10*G7)/G5</f>
        <v>#REF!</v>
      </c>
    </row>
    <row r="5" spans="2:7">
      <c r="B5" s="1399" t="s">
        <v>1775</v>
      </c>
      <c r="C5" s="1400"/>
      <c r="D5" s="1401"/>
      <c r="F5" s="1397" t="s">
        <v>1776</v>
      </c>
      <c r="G5" s="1402" t="e">
        <f>(((1+C7)^G6)*C7)/(((1+C7)^G6)-1)</f>
        <v>#REF!</v>
      </c>
    </row>
    <row r="6" spans="2:7">
      <c r="B6" s="1399" t="s">
        <v>1777</v>
      </c>
      <c r="C6" s="1400"/>
      <c r="D6" s="1401"/>
      <c r="F6" s="1397" t="s">
        <v>1778</v>
      </c>
      <c r="G6" s="1403" t="e">
        <f>G7/(C8*C9)</f>
        <v>#REF!</v>
      </c>
    </row>
    <row r="7" spans="2:7">
      <c r="B7" s="1399" t="s">
        <v>1779</v>
      </c>
      <c r="C7" s="1404">
        <f>'BD-NET'!Q114</f>
        <v>8.1942000000000001E-2</v>
      </c>
      <c r="D7" s="1401"/>
      <c r="F7" s="1397" t="s">
        <v>1780</v>
      </c>
      <c r="G7" s="1405">
        <f>12*(20000*C6+10000*C5)</f>
        <v>0</v>
      </c>
    </row>
    <row r="8" spans="2:7">
      <c r="B8" s="1399" t="s">
        <v>1781</v>
      </c>
      <c r="C8" s="1406" t="e">
        <f>C24</f>
        <v>#REF!</v>
      </c>
      <c r="D8" s="1407" t="s">
        <v>1782</v>
      </c>
    </row>
    <row r="9" spans="2:7">
      <c r="B9" s="1399" t="s">
        <v>1783</v>
      </c>
      <c r="C9" s="1408"/>
      <c r="D9" s="1401"/>
    </row>
    <row r="10" spans="2:7">
      <c r="B10" s="1399" t="s">
        <v>1784</v>
      </c>
      <c r="C10" s="1409" t="e">
        <f>F14</f>
        <v>#REF!</v>
      </c>
      <c r="D10" s="1401"/>
    </row>
    <row r="12" spans="2:7">
      <c r="B12" s="435" t="s">
        <v>1785</v>
      </c>
      <c r="C12" s="435" t="s">
        <v>723</v>
      </c>
      <c r="D12" s="435" t="s">
        <v>1786</v>
      </c>
      <c r="E12" s="435" t="s">
        <v>1787</v>
      </c>
      <c r="F12" s="435" t="s">
        <v>1788</v>
      </c>
    </row>
    <row r="13" spans="2:7" ht="13.5" thickBot="1">
      <c r="B13" s="1399" t="s">
        <v>1789</v>
      </c>
      <c r="C13" s="1410" t="e">
        <f>C38</f>
        <v>#REF!</v>
      </c>
      <c r="D13" s="1399"/>
      <c r="E13" s="1399"/>
      <c r="F13" s="1411"/>
    </row>
    <row r="14" spans="2:7" ht="13.5" thickBot="1">
      <c r="B14" s="1399" t="s">
        <v>1790</v>
      </c>
      <c r="C14" s="1410" t="e">
        <f>(C32+E55)*($C$38/$C$35)</f>
        <v>#REF!</v>
      </c>
      <c r="D14" s="1412" t="e">
        <f>$C$17*(C14/($C$14+$C$15+$C$16))</f>
        <v>#REF!</v>
      </c>
      <c r="E14" s="1413" t="e">
        <f>C14-D14</f>
        <v>#REF!</v>
      </c>
      <c r="F14" s="458" t="e">
        <f>E14/$C$13</f>
        <v>#REF!</v>
      </c>
      <c r="G14" s="459" t="s">
        <v>1791</v>
      </c>
    </row>
    <row r="15" spans="2:7">
      <c r="B15" s="1399" t="s">
        <v>1792</v>
      </c>
      <c r="C15" s="1410" t="e">
        <f>C27*($C$38/$C$35)</f>
        <v>#REF!</v>
      </c>
      <c r="D15" s="1412" t="e">
        <f>$C$17*(C15/($C$14+$C$15+$C$16))</f>
        <v>#REF!</v>
      </c>
      <c r="E15" s="1412" t="e">
        <f>C15-D15</f>
        <v>#REF!</v>
      </c>
      <c r="F15" s="1414" t="e">
        <f>E15/$C$13</f>
        <v>#REF!</v>
      </c>
    </row>
    <row r="16" spans="2:7">
      <c r="B16" s="1399" t="s">
        <v>1793</v>
      </c>
      <c r="C16" s="1410" t="e">
        <f>(C33+D54)*($C$38/$C$35)</f>
        <v>#REF!</v>
      </c>
      <c r="D16" s="1412" t="e">
        <f>$C$17*(C16/($C$14+$C$15+$C$16))</f>
        <v>#REF!</v>
      </c>
      <c r="E16" s="1412" t="e">
        <f>C16-D16</f>
        <v>#REF!</v>
      </c>
      <c r="F16" s="1415" t="e">
        <f>E16/$C$13</f>
        <v>#REF!</v>
      </c>
    </row>
    <row r="17" spans="2:6">
      <c r="B17" s="1399" t="s">
        <v>1794</v>
      </c>
      <c r="C17" s="1410" t="e">
        <f>C39</f>
        <v>#REF!</v>
      </c>
      <c r="D17" s="1399"/>
      <c r="E17" s="1399"/>
      <c r="F17" s="1416" t="e">
        <f>C17/C13</f>
        <v>#REF!</v>
      </c>
    </row>
    <row r="18" spans="2:6">
      <c r="D18" s="440" t="e">
        <f>SUM(D14:D17)</f>
        <v>#REF!</v>
      </c>
      <c r="F18" s="1417" t="e">
        <f>SUM(F14:F17)</f>
        <v>#REF!</v>
      </c>
    </row>
    <row r="19" spans="2:6">
      <c r="B19" s="431" t="s">
        <v>1795</v>
      </c>
    </row>
    <row r="20" spans="2:6">
      <c r="B20" s="431"/>
    </row>
    <row r="21" spans="2:6">
      <c r="B21" s="1418" t="s">
        <v>1796</v>
      </c>
      <c r="C21" s="1419" t="e">
        <f>LnkTxtPBCAOMCAA</f>
        <v>#NAME?</v>
      </c>
    </row>
    <row r="22" spans="2:6">
      <c r="B22" s="432" t="s">
        <v>1797</v>
      </c>
      <c r="C22" s="433">
        <v>1.15E-2</v>
      </c>
    </row>
    <row r="23" spans="2:6">
      <c r="B23" s="432" t="s">
        <v>1798</v>
      </c>
      <c r="C23" s="433">
        <v>0</v>
      </c>
    </row>
    <row r="24" spans="2:6">
      <c r="B24" s="1418" t="s">
        <v>1799</v>
      </c>
      <c r="C24" s="1419" t="e">
        <f>#REF!+#REF!</f>
        <v>#REF!</v>
      </c>
    </row>
    <row r="27" spans="2:6">
      <c r="B27" s="1418" t="s">
        <v>1800</v>
      </c>
      <c r="C27" s="1419" t="e">
        <f>#REF!</f>
        <v>#REF!</v>
      </c>
    </row>
    <row r="28" spans="2:6">
      <c r="B28" s="432" t="s">
        <v>1801</v>
      </c>
      <c r="C28" s="438" t="e">
        <f>#REF!</f>
        <v>#REF!</v>
      </c>
    </row>
    <row r="29" spans="2:6">
      <c r="B29" s="432" t="s">
        <v>1802</v>
      </c>
      <c r="C29" s="438"/>
    </row>
    <row r="30" spans="2:6">
      <c r="B30" s="432" t="s">
        <v>1803</v>
      </c>
      <c r="C30" s="438" t="e">
        <f>#REF!</f>
        <v>#REF!</v>
      </c>
    </row>
    <row r="31" spans="2:6">
      <c r="B31" s="1418" t="s">
        <v>1804</v>
      </c>
      <c r="C31" s="1419" t="e">
        <f>#REF!</f>
        <v>#REF!</v>
      </c>
    </row>
    <row r="32" spans="2:6">
      <c r="B32" s="432" t="s">
        <v>1805</v>
      </c>
      <c r="C32" s="438" t="e">
        <f>#REF!</f>
        <v>#REF!</v>
      </c>
    </row>
    <row r="33" spans="2:4">
      <c r="B33" s="432" t="s">
        <v>1806</v>
      </c>
      <c r="C33" s="438" t="e">
        <f>#REF!</f>
        <v>#REF!</v>
      </c>
    </row>
    <row r="34" spans="2:4">
      <c r="B34" s="432" t="s">
        <v>1807</v>
      </c>
      <c r="C34" s="438" t="e">
        <f>#REF!</f>
        <v>#REF!</v>
      </c>
    </row>
    <row r="35" spans="2:4">
      <c r="B35" s="1418" t="s">
        <v>1796</v>
      </c>
      <c r="C35" s="1419" t="e">
        <f>C21</f>
        <v>#NAME?</v>
      </c>
    </row>
    <row r="36" spans="2:4">
      <c r="B36" s="432" t="s">
        <v>1797</v>
      </c>
      <c r="C36" s="433">
        <f>C22</f>
        <v>1.15E-2</v>
      </c>
    </row>
    <row r="37" spans="2:4">
      <c r="B37" s="432" t="s">
        <v>1798</v>
      </c>
      <c r="C37" s="433">
        <f>C23</f>
        <v>0</v>
      </c>
    </row>
    <row r="38" spans="2:4">
      <c r="B38" s="1418" t="s">
        <v>1799</v>
      </c>
      <c r="C38" s="1419" t="e">
        <f>C24</f>
        <v>#REF!</v>
      </c>
    </row>
    <row r="39" spans="2:4">
      <c r="B39" s="432" t="s">
        <v>1808</v>
      </c>
      <c r="C39" s="438" t="e">
        <f>#REF!</f>
        <v>#REF!</v>
      </c>
    </row>
    <row r="40" spans="2:4">
      <c r="B40" s="1420" t="s">
        <v>1809</v>
      </c>
      <c r="C40" s="1421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1810</v>
      </c>
      <c r="C2" s="427"/>
      <c r="H2" s="428" t="s">
        <v>1811</v>
      </c>
    </row>
    <row r="3" spans="2:17">
      <c r="B3" s="1422" t="s">
        <v>1772</v>
      </c>
      <c r="C3" s="1422" t="s">
        <v>1773</v>
      </c>
      <c r="D3" s="1423" t="s">
        <v>854</v>
      </c>
      <c r="E3" s="1423" t="s">
        <v>1812</v>
      </c>
      <c r="F3" s="1423" t="s">
        <v>1813</v>
      </c>
      <c r="H3" s="428" t="s">
        <v>1814</v>
      </c>
      <c r="M3" s="423" t="s">
        <v>1815</v>
      </c>
      <c r="O3" s="423" t="s">
        <v>1815</v>
      </c>
      <c r="P3" s="423" t="s">
        <v>1815</v>
      </c>
    </row>
    <row r="4" spans="2:17">
      <c r="B4" s="1424" t="s">
        <v>1816</v>
      </c>
      <c r="C4" s="1425" t="e">
        <f>12*C5*(1-$E$13)*1/$E$16</f>
        <v>#DIV/0!</v>
      </c>
      <c r="D4" s="1401" t="s">
        <v>1817</v>
      </c>
      <c r="E4" s="1401"/>
      <c r="F4" s="1401"/>
      <c r="H4" s="1422" t="s">
        <v>1818</v>
      </c>
      <c r="I4" s="1422" t="s">
        <v>1819</v>
      </c>
      <c r="J4" s="1422" t="s">
        <v>1820</v>
      </c>
      <c r="K4" s="1422" t="s">
        <v>1821</v>
      </c>
      <c r="L4" s="1422" t="s">
        <v>1822</v>
      </c>
      <c r="M4" s="1422" t="s">
        <v>895</v>
      </c>
      <c r="N4" s="1422" t="s">
        <v>533</v>
      </c>
      <c r="O4" s="1422" t="s">
        <v>537</v>
      </c>
      <c r="P4" s="1422" t="s">
        <v>535</v>
      </c>
      <c r="Q4" s="1422" t="s">
        <v>538</v>
      </c>
    </row>
    <row r="5" spans="2:17">
      <c r="B5" s="1424" t="s">
        <v>1777</v>
      </c>
      <c r="C5" s="1426"/>
      <c r="D5" s="1401"/>
      <c r="E5" s="1401"/>
      <c r="F5" s="1401" t="s">
        <v>1823</v>
      </c>
      <c r="H5" s="1424" t="s">
        <v>1816</v>
      </c>
      <c r="I5" s="1425" t="e">
        <f t="shared" ref="I5:Q5" si="0">12*I6*(1-$E$13)*1/$E$16</f>
        <v>#DIV/0!</v>
      </c>
      <c r="J5" s="1425" t="e">
        <f t="shared" si="0"/>
        <v>#DIV/0!</v>
      </c>
      <c r="K5" s="1425" t="e">
        <f t="shared" si="0"/>
        <v>#DIV/0!</v>
      </c>
      <c r="L5" s="1425" t="e">
        <f t="shared" si="0"/>
        <v>#DIV/0!</v>
      </c>
      <c r="M5" s="1425" t="e">
        <f t="shared" si="0"/>
        <v>#DIV/0!</v>
      </c>
      <c r="N5" s="1425" t="e">
        <f t="shared" si="0"/>
        <v>#DIV/0!</v>
      </c>
      <c r="O5" s="1425" t="e">
        <f t="shared" si="0"/>
        <v>#DIV/0!</v>
      </c>
      <c r="P5" s="1425" t="e">
        <f t="shared" si="0"/>
        <v>#DIV/0!</v>
      </c>
      <c r="Q5" s="1425" t="e">
        <f t="shared" si="0"/>
        <v>#DIV/0!</v>
      </c>
    </row>
    <row r="6" spans="2:17">
      <c r="B6" s="1424" t="s">
        <v>1824</v>
      </c>
      <c r="C6" s="1427"/>
      <c r="D6" s="1401" t="s">
        <v>1825</v>
      </c>
      <c r="E6" s="1401"/>
      <c r="F6" s="1428"/>
      <c r="H6" s="1424" t="s">
        <v>1777</v>
      </c>
      <c r="I6" s="1429"/>
      <c r="J6" s="1429"/>
      <c r="K6" s="1429"/>
      <c r="L6" s="1429"/>
      <c r="M6" s="1400"/>
      <c r="N6" s="1430"/>
      <c r="O6" s="1400"/>
      <c r="P6" s="1400"/>
      <c r="Q6" s="1400"/>
    </row>
    <row r="7" spans="2:17">
      <c r="B7" s="1424" t="s">
        <v>1826</v>
      </c>
      <c r="C7" s="1427"/>
      <c r="D7" s="1401" t="s">
        <v>1827</v>
      </c>
      <c r="E7" s="1401"/>
      <c r="F7" s="1428"/>
      <c r="H7" s="1424" t="s">
        <v>1824</v>
      </c>
      <c r="I7" s="1871">
        <f>C6</f>
        <v>0</v>
      </c>
      <c r="J7" s="1872"/>
      <c r="K7" s="1872"/>
      <c r="L7" s="1872"/>
      <c r="M7" s="1872"/>
      <c r="N7" s="1872"/>
      <c r="O7" s="1872"/>
      <c r="P7" s="1872"/>
      <c r="Q7" s="1873"/>
    </row>
    <row r="8" spans="2:17">
      <c r="B8" s="1424" t="s">
        <v>1828</v>
      </c>
      <c r="C8" s="1431"/>
      <c r="D8" s="1401" t="s">
        <v>1829</v>
      </c>
      <c r="E8" s="1401" t="s">
        <v>1830</v>
      </c>
      <c r="F8" s="1432"/>
      <c r="G8" s="429"/>
      <c r="H8" s="1424" t="s">
        <v>1828</v>
      </c>
      <c r="I8" s="1874">
        <f>C8</f>
        <v>0</v>
      </c>
      <c r="J8" s="1875"/>
      <c r="K8" s="1875"/>
      <c r="L8" s="1875"/>
      <c r="M8" s="1875"/>
      <c r="N8" s="1875"/>
      <c r="O8" s="1875"/>
      <c r="P8" s="1875"/>
      <c r="Q8" s="1876"/>
    </row>
    <row r="9" spans="2:17">
      <c r="B9" s="1424" t="s">
        <v>1831</v>
      </c>
      <c r="C9" s="1427"/>
      <c r="D9" s="1401" t="s">
        <v>1832</v>
      </c>
      <c r="E9" s="1401"/>
      <c r="F9" s="1432"/>
      <c r="H9" s="1424" t="s">
        <v>1831</v>
      </c>
      <c r="I9" s="1871">
        <f>C9</f>
        <v>0</v>
      </c>
      <c r="J9" s="1872"/>
      <c r="K9" s="1872"/>
      <c r="L9" s="1872"/>
      <c r="M9" s="1872"/>
      <c r="N9" s="1872"/>
      <c r="O9" s="1872"/>
      <c r="P9" s="1872"/>
      <c r="Q9" s="1873"/>
    </row>
    <row r="10" spans="2:17">
      <c r="B10" s="1424" t="s">
        <v>1833</v>
      </c>
      <c r="C10" s="1431"/>
      <c r="D10" s="1401" t="s">
        <v>1834</v>
      </c>
      <c r="E10" s="1401" t="s">
        <v>1835</v>
      </c>
      <c r="F10" s="1432"/>
      <c r="G10" s="429"/>
      <c r="H10" s="1424" t="s">
        <v>1833</v>
      </c>
      <c r="I10" s="1877">
        <f>C10</f>
        <v>0</v>
      </c>
      <c r="J10" s="1878"/>
      <c r="K10" s="1878"/>
      <c r="L10" s="1878"/>
      <c r="M10" s="1878"/>
      <c r="N10" s="1878"/>
      <c r="O10" s="1878"/>
      <c r="P10" s="1878"/>
      <c r="Q10" s="1879"/>
    </row>
    <row r="12" spans="2:17">
      <c r="D12" s="426" t="s">
        <v>1836</v>
      </c>
    </row>
    <row r="13" spans="2:17">
      <c r="D13" s="1397" t="s">
        <v>1837</v>
      </c>
      <c r="E13" s="1433" t="e">
        <f>C10/C8</f>
        <v>#DIV/0!</v>
      </c>
      <c r="H13" s="428" t="s">
        <v>1838</v>
      </c>
      <c r="M13" s="430">
        <v>4.2321999999999997</v>
      </c>
    </row>
    <row r="14" spans="2:17">
      <c r="D14" s="1397" t="s">
        <v>1839</v>
      </c>
      <c r="E14" s="1434" t="e">
        <f>1/C9</f>
        <v>#DIV/0!</v>
      </c>
      <c r="H14" s="428" t="s">
        <v>1840</v>
      </c>
      <c r="M14" s="423">
        <v>1.01916916988504</v>
      </c>
    </row>
    <row r="15" spans="2:17">
      <c r="D15" s="1397" t="s">
        <v>1841</v>
      </c>
      <c r="E15" s="1435">
        <f>ROUND(C6/(1-C7),4)</f>
        <v>0</v>
      </c>
      <c r="H15" s="428" t="s">
        <v>1842</v>
      </c>
      <c r="M15" s="423">
        <f>M13*M14</f>
        <v>4.313327760787466</v>
      </c>
    </row>
    <row r="16" spans="2:17">
      <c r="D16" s="1397" t="s">
        <v>1776</v>
      </c>
      <c r="E16" s="1436" t="e">
        <f>(((1+E15)^E14)*E15)/((1+E15)^E14-1)</f>
        <v>#DIV/0!</v>
      </c>
      <c r="H16" s="428" t="s">
        <v>1843</v>
      </c>
      <c r="M16" s="423">
        <v>0.3</v>
      </c>
    </row>
    <row r="17" spans="2:13">
      <c r="H17" s="428" t="s">
        <v>1844</v>
      </c>
      <c r="M17" s="423">
        <v>0.4</v>
      </c>
    </row>
    <row r="18" spans="2:13">
      <c r="H18" s="428" t="s">
        <v>1845</v>
      </c>
      <c r="M18" s="423">
        <v>0</v>
      </c>
    </row>
    <row r="20" spans="2:13">
      <c r="B20" s="1418" t="s">
        <v>1796</v>
      </c>
      <c r="C20" s="1419" t="e">
        <f>'REN 473'!C21</f>
        <v>#NAME?</v>
      </c>
      <c r="E20" s="431" t="s">
        <v>1846</v>
      </c>
      <c r="F20" s="431"/>
    </row>
    <row r="21" spans="2:13">
      <c r="B21" s="432" t="s">
        <v>1797</v>
      </c>
      <c r="C21" s="433">
        <f>'REN 473'!C22</f>
        <v>1.15E-2</v>
      </c>
      <c r="E21" s="434" t="s">
        <v>776</v>
      </c>
      <c r="F21" s="435" t="s">
        <v>37</v>
      </c>
    </row>
    <row r="22" spans="2:13">
      <c r="B22" s="432" t="s">
        <v>1798</v>
      </c>
      <c r="C22" s="433">
        <f>'REN 473'!C23</f>
        <v>0</v>
      </c>
      <c r="E22" s="436" t="s">
        <v>1847</v>
      </c>
      <c r="F22" s="437"/>
    </row>
    <row r="23" spans="2:13">
      <c r="B23" s="1418" t="s">
        <v>1799</v>
      </c>
      <c r="C23" s="1419" t="e">
        <f>'REN 473'!C24</f>
        <v>#REF!</v>
      </c>
      <c r="E23" s="436" t="s">
        <v>1848</v>
      </c>
      <c r="F23" s="437"/>
    </row>
    <row r="24" spans="2:13">
      <c r="E24" s="436" t="s">
        <v>1849</v>
      </c>
      <c r="F24" s="437"/>
    </row>
    <row r="25" spans="2:13">
      <c r="B25" s="1418" t="s">
        <v>1800</v>
      </c>
      <c r="C25" s="1437"/>
      <c r="E25" s="436" t="s">
        <v>1850</v>
      </c>
      <c r="F25" s="437"/>
    </row>
    <row r="26" spans="2:13">
      <c r="B26" s="432" t="s">
        <v>1801</v>
      </c>
      <c r="C26" s="460"/>
      <c r="E26" s="1438" t="s">
        <v>1851</v>
      </c>
      <c r="F26" s="1439"/>
    </row>
    <row r="27" spans="2:13">
      <c r="B27" s="432" t="s">
        <v>1802</v>
      </c>
      <c r="C27" s="460"/>
      <c r="E27" s="436" t="s">
        <v>1852</v>
      </c>
      <c r="F27" s="439"/>
    </row>
    <row r="28" spans="2:13">
      <c r="B28" s="1420" t="s">
        <v>1803</v>
      </c>
      <c r="C28" s="1440"/>
      <c r="E28" s="1438" t="s">
        <v>1853</v>
      </c>
      <c r="F28" s="1439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1854</v>
      </c>
      <c r="C2" s="9" t="s">
        <v>37</v>
      </c>
    </row>
    <row r="3" spans="2:3">
      <c r="B3" s="64" t="s">
        <v>1855</v>
      </c>
      <c r="C3" t="e">
        <f t="shared" ref="C3:C66" ca="1" si="0">INDIRECT(B3)</f>
        <v>#REF!</v>
      </c>
    </row>
    <row r="4" spans="2:3">
      <c r="B4" s="64" t="s">
        <v>1856</v>
      </c>
      <c r="C4" t="e">
        <f t="shared" ca="1" si="0"/>
        <v>#REF!</v>
      </c>
    </row>
    <row r="5" spans="2:3">
      <c r="B5" s="64" t="s">
        <v>1857</v>
      </c>
      <c r="C5" t="e">
        <f t="shared" ca="1" si="0"/>
        <v>#REF!</v>
      </c>
    </row>
    <row r="6" spans="2:3">
      <c r="B6" s="64" t="s">
        <v>1858</v>
      </c>
      <c r="C6" t="e">
        <f t="shared" ca="1" si="0"/>
        <v>#REF!</v>
      </c>
    </row>
    <row r="7" spans="2:3">
      <c r="B7" s="64" t="s">
        <v>1859</v>
      </c>
      <c r="C7" t="e">
        <f t="shared" ca="1" si="0"/>
        <v>#REF!</v>
      </c>
    </row>
    <row r="8" spans="2:3">
      <c r="B8" s="64" t="s">
        <v>1860</v>
      </c>
      <c r="C8" t="e">
        <f t="shared" ca="1" si="0"/>
        <v>#REF!</v>
      </c>
    </row>
    <row r="9" spans="2:3">
      <c r="B9" s="64" t="s">
        <v>1861</v>
      </c>
      <c r="C9" t="e">
        <f t="shared" ca="1" si="0"/>
        <v>#REF!</v>
      </c>
    </row>
    <row r="10" spans="2:3">
      <c r="B10" s="64" t="s">
        <v>1862</v>
      </c>
      <c r="C10" t="e">
        <f t="shared" ca="1" si="0"/>
        <v>#REF!</v>
      </c>
    </row>
    <row r="11" spans="2:3">
      <c r="B11" s="64" t="s">
        <v>1863</v>
      </c>
      <c r="C11" t="e">
        <f t="shared" ca="1" si="0"/>
        <v>#REF!</v>
      </c>
    </row>
    <row r="12" spans="2:3">
      <c r="B12" s="63" t="s">
        <v>1864</v>
      </c>
      <c r="C12" t="e">
        <f t="shared" ca="1" si="0"/>
        <v>#REF!</v>
      </c>
    </row>
    <row r="13" spans="2:3">
      <c r="B13" s="63" t="s">
        <v>1865</v>
      </c>
      <c r="C13" t="e">
        <f t="shared" ca="1" si="0"/>
        <v>#REF!</v>
      </c>
    </row>
    <row r="14" spans="2:3">
      <c r="B14" s="63" t="s">
        <v>1866</v>
      </c>
      <c r="C14">
        <f t="shared" ca="1" si="0"/>
        <v>2022</v>
      </c>
    </row>
    <row r="15" spans="2:3">
      <c r="B15" s="63" t="s">
        <v>1867</v>
      </c>
      <c r="C15">
        <f t="shared" ca="1" si="0"/>
        <v>2022</v>
      </c>
    </row>
    <row r="16" spans="2:3">
      <c r="B16" s="63" t="s">
        <v>1868</v>
      </c>
      <c r="C16">
        <f t="shared" ca="1" si="0"/>
        <v>44834</v>
      </c>
    </row>
    <row r="17" spans="2:3">
      <c r="B17" s="63" t="s">
        <v>1869</v>
      </c>
      <c r="C17">
        <f t="shared" ca="1" si="0"/>
        <v>44819.61</v>
      </c>
    </row>
    <row r="18" spans="2:3">
      <c r="B18" s="63" t="s">
        <v>1870</v>
      </c>
      <c r="C18">
        <f t="shared" ca="1" si="0"/>
        <v>0</v>
      </c>
    </row>
    <row r="19" spans="2:3">
      <c r="B19" s="63" t="s">
        <v>1871</v>
      </c>
      <c r="C19">
        <f t="shared" ca="1" si="0"/>
        <v>14916.766000000001</v>
      </c>
    </row>
    <row r="20" spans="2:3">
      <c r="B20" s="63" t="s">
        <v>1872</v>
      </c>
      <c r="C20" t="e">
        <f t="shared" ca="1" si="0"/>
        <v>#VALUE!</v>
      </c>
    </row>
    <row r="21" spans="2:3">
      <c r="B21" s="63" t="s">
        <v>1873</v>
      </c>
      <c r="C21">
        <f t="shared" ca="1" si="0"/>
        <v>5369</v>
      </c>
    </row>
    <row r="22" spans="2:3">
      <c r="B22" s="63" t="s">
        <v>1064</v>
      </c>
      <c r="C22">
        <f t="shared" ca="1" si="0"/>
        <v>229</v>
      </c>
    </row>
    <row r="23" spans="2:3">
      <c r="B23" s="63" t="s">
        <v>1874</v>
      </c>
      <c r="C23">
        <f t="shared" ca="1" si="0"/>
        <v>8.9700000000000002E-2</v>
      </c>
    </row>
    <row r="24" spans="2:3">
      <c r="B24" s="63" t="s">
        <v>1875</v>
      </c>
      <c r="C24" t="e">
        <f t="shared" ca="1" si="0"/>
        <v>#REF!</v>
      </c>
    </row>
    <row r="25" spans="2:3">
      <c r="B25" s="63" t="s">
        <v>1876</v>
      </c>
      <c r="C25">
        <f t="shared" ca="1" si="0"/>
        <v>0</v>
      </c>
    </row>
    <row r="26" spans="2:3">
      <c r="B26" s="63" t="s">
        <v>1877</v>
      </c>
      <c r="C26">
        <f t="shared" ca="1" si="0"/>
        <v>0</v>
      </c>
    </row>
    <row r="27" spans="2:3">
      <c r="B27" s="63" t="s">
        <v>1878</v>
      </c>
      <c r="C27" t="e">
        <f t="shared" ca="1" si="0"/>
        <v>#REF!</v>
      </c>
    </row>
    <row r="28" spans="2:3">
      <c r="B28" s="63" t="s">
        <v>1879</v>
      </c>
      <c r="C28" t="e">
        <f t="shared" ca="1" si="0"/>
        <v>#REF!</v>
      </c>
    </row>
    <row r="29" spans="2:3">
      <c r="B29" s="63" t="s">
        <v>1880</v>
      </c>
      <c r="C29">
        <f t="shared" ca="1" si="0"/>
        <v>0</v>
      </c>
    </row>
    <row r="30" spans="2:3">
      <c r="B30" s="63" t="s">
        <v>1881</v>
      </c>
      <c r="C30">
        <f t="shared" ca="1" si="0"/>
        <v>4523</v>
      </c>
    </row>
    <row r="31" spans="2:3">
      <c r="B31" s="63" t="s">
        <v>1882</v>
      </c>
      <c r="C31">
        <f t="shared" ca="1" si="0"/>
        <v>44834</v>
      </c>
    </row>
    <row r="32" spans="2:3">
      <c r="B32" s="63" t="s">
        <v>1883</v>
      </c>
      <c r="C32" t="e">
        <f t="shared" ca="1" si="0"/>
        <v>#REF!</v>
      </c>
    </row>
    <row r="33" spans="2:3">
      <c r="B33" s="63" t="s">
        <v>1884</v>
      </c>
      <c r="C33">
        <f t="shared" ca="1" si="0"/>
        <v>0.24450729708640606</v>
      </c>
    </row>
    <row r="34" spans="2:3">
      <c r="B34" s="63" t="s">
        <v>1885</v>
      </c>
      <c r="C34" t="e">
        <f t="shared" ca="1" si="0"/>
        <v>#REF!</v>
      </c>
    </row>
    <row r="35" spans="2:3">
      <c r="B35" s="63" t="s">
        <v>1886</v>
      </c>
      <c r="C35">
        <f t="shared" ca="1" si="0"/>
        <v>0</v>
      </c>
    </row>
    <row r="36" spans="2:3">
      <c r="B36" s="63" t="s">
        <v>1887</v>
      </c>
      <c r="C36" t="e">
        <f t="shared" ca="1" si="0"/>
        <v>#REF!</v>
      </c>
    </row>
    <row r="37" spans="2:3">
      <c r="B37" s="63" t="s">
        <v>1888</v>
      </c>
      <c r="C37" t="e">
        <f t="shared" ca="1" si="0"/>
        <v>#REF!</v>
      </c>
    </row>
    <row r="38" spans="2:3">
      <c r="B38" s="64" t="s">
        <v>1889</v>
      </c>
      <c r="C38" t="e">
        <f t="shared" ca="1" si="0"/>
        <v>#REF!</v>
      </c>
    </row>
    <row r="39" spans="2:3">
      <c r="B39" s="63" t="s">
        <v>1890</v>
      </c>
      <c r="C39" t="e">
        <f t="shared" ca="1" si="0"/>
        <v>#REF!</v>
      </c>
    </row>
    <row r="40" spans="2:3">
      <c r="B40" s="63" t="s">
        <v>1891</v>
      </c>
      <c r="C40" t="e">
        <f t="shared" ca="1" si="0"/>
        <v>#REF!</v>
      </c>
    </row>
    <row r="41" spans="2:3">
      <c r="B41" s="63" t="s">
        <v>1892</v>
      </c>
      <c r="C41">
        <f t="shared" ca="1" si="0"/>
        <v>8.6014610421965454E-2</v>
      </c>
    </row>
    <row r="42" spans="2:3">
      <c r="B42" s="63" t="s">
        <v>1893</v>
      </c>
      <c r="C42">
        <f t="shared" ca="1" si="0"/>
        <v>8.434010763464217E-2</v>
      </c>
    </row>
    <row r="43" spans="2:3">
      <c r="B43" s="63" t="s">
        <v>1894</v>
      </c>
      <c r="C43">
        <f t="shared" ca="1" si="0"/>
        <v>8.8395169899283976E-2</v>
      </c>
    </row>
    <row r="44" spans="2:3">
      <c r="B44" s="63" t="s">
        <v>1895</v>
      </c>
      <c r="C44" t="e">
        <f t="shared" ca="1" si="0"/>
        <v>#REF!</v>
      </c>
    </row>
    <row r="45" spans="2:3">
      <c r="B45" s="63" t="s">
        <v>1896</v>
      </c>
      <c r="C45" t="e">
        <f t="shared" ca="1" si="0"/>
        <v>#REF!</v>
      </c>
    </row>
    <row r="46" spans="2:3">
      <c r="B46" s="63" t="s">
        <v>1897</v>
      </c>
      <c r="C46" t="e">
        <f t="shared" ca="1" si="0"/>
        <v>#REF!</v>
      </c>
    </row>
    <row r="47" spans="2:3">
      <c r="B47" s="63" t="s">
        <v>1898</v>
      </c>
      <c r="C47">
        <f t="shared" ca="1" si="0"/>
        <v>8.6014610421965454E-2</v>
      </c>
    </row>
    <row r="48" spans="2:3">
      <c r="B48" s="63" t="s">
        <v>1899</v>
      </c>
      <c r="C48">
        <f t="shared" ca="1" si="0"/>
        <v>0</v>
      </c>
    </row>
    <row r="49" spans="2:3">
      <c r="B49" s="63" t="s">
        <v>1900</v>
      </c>
      <c r="C49">
        <f t="shared" ca="1" si="0"/>
        <v>49976.929000000004</v>
      </c>
    </row>
    <row r="50" spans="2:3">
      <c r="B50" s="63" t="s">
        <v>1901</v>
      </c>
      <c r="C50">
        <f t="shared" ca="1" si="0"/>
        <v>0.1168</v>
      </c>
    </row>
    <row r="51" spans="2:3">
      <c r="B51" s="63" t="s">
        <v>1902</v>
      </c>
      <c r="C51">
        <f t="shared" ca="1" si="0"/>
        <v>44819.61</v>
      </c>
    </row>
    <row r="52" spans="2:3">
      <c r="B52" s="63" t="s">
        <v>1903</v>
      </c>
      <c r="C52">
        <f t="shared" ca="1" si="0"/>
        <v>44819.61</v>
      </c>
    </row>
    <row r="53" spans="2:3">
      <c r="B53" s="63" t="s">
        <v>1904</v>
      </c>
      <c r="C53">
        <f t="shared" ca="1" si="0"/>
        <v>0</v>
      </c>
    </row>
    <row r="54" spans="2:3">
      <c r="B54" s="63" t="s">
        <v>1905</v>
      </c>
      <c r="C54">
        <f t="shared" ca="1" si="0"/>
        <v>0.32363952178949168</v>
      </c>
    </row>
    <row r="55" spans="2:3">
      <c r="B55" s="63" t="s">
        <v>1906</v>
      </c>
      <c r="C55">
        <f t="shared" ca="1" si="0"/>
        <v>0</v>
      </c>
    </row>
    <row r="56" spans="2:3">
      <c r="B56" s="63" t="s">
        <v>1907</v>
      </c>
      <c r="C56">
        <f t="shared" ca="1" si="0"/>
        <v>0</v>
      </c>
    </row>
    <row r="57" spans="2:3">
      <c r="B57" s="63" t="s">
        <v>1908</v>
      </c>
      <c r="C57">
        <f t="shared" ca="1" si="0"/>
        <v>0.24450729708640606</v>
      </c>
    </row>
    <row r="58" spans="2:3">
      <c r="B58" s="63" t="s">
        <v>1909</v>
      </c>
      <c r="C58">
        <f t="shared" ca="1" si="0"/>
        <v>8.727291292620043E-2</v>
      </c>
    </row>
    <row r="59" spans="2:3">
      <c r="B59" s="63" t="s">
        <v>1910</v>
      </c>
      <c r="C59">
        <f t="shared" ca="1" si="0"/>
        <v>0</v>
      </c>
    </row>
    <row r="60" spans="2:3">
      <c r="B60" s="63" t="s">
        <v>1911</v>
      </c>
      <c r="C60" t="e">
        <f t="shared" ca="1" si="0"/>
        <v>#REF!</v>
      </c>
    </row>
    <row r="61" spans="2:3">
      <c r="B61" s="63" t="s">
        <v>1912</v>
      </c>
      <c r="C61">
        <f t="shared" ca="1" si="0"/>
        <v>1.198552588645883E-2</v>
      </c>
    </row>
    <row r="62" spans="2:3">
      <c r="B62" s="63" t="s">
        <v>1913</v>
      </c>
      <c r="C62">
        <f t="shared" ca="1" si="0"/>
        <v>7.1900000000000006E-2</v>
      </c>
    </row>
    <row r="63" spans="2:3">
      <c r="B63" s="63" t="s">
        <v>1914</v>
      </c>
      <c r="C63">
        <f t="shared" ca="1" si="0"/>
        <v>4.778423514594396E-2</v>
      </c>
    </row>
    <row r="64" spans="2:3">
      <c r="B64" s="63" t="s">
        <v>1915</v>
      </c>
      <c r="C64" t="e">
        <f t="shared" ca="1" si="0"/>
        <v>#REF!</v>
      </c>
    </row>
    <row r="65" spans="2:3">
      <c r="B65" s="63" t="s">
        <v>1916</v>
      </c>
      <c r="C65">
        <f t="shared" ca="1" si="0"/>
        <v>6.2903760501048775E-2</v>
      </c>
    </row>
    <row r="66" spans="2:3">
      <c r="B66" s="63" t="s">
        <v>1917</v>
      </c>
      <c r="C66">
        <f t="shared" ca="1" si="0"/>
        <v>9.0004239975646737E-3</v>
      </c>
    </row>
    <row r="67" spans="2:3">
      <c r="B67" s="63" t="s">
        <v>1918</v>
      </c>
      <c r="C67">
        <f t="shared" ref="C67:C130" ca="1" si="1">INDIRECT(B67)</f>
        <v>3.1339994686459577E-3</v>
      </c>
    </row>
    <row r="68" spans="2:3">
      <c r="B68" s="63" t="s">
        <v>1919</v>
      </c>
      <c r="C68">
        <f t="shared" ca="1" si="1"/>
        <v>-3.0800000000000001E-2</v>
      </c>
    </row>
    <row r="69" spans="2:3">
      <c r="B69" s="63" t="s">
        <v>1920</v>
      </c>
      <c r="C69">
        <f t="shared" ca="1" si="1"/>
        <v>-35573.907815025726</v>
      </c>
    </row>
    <row r="70" spans="2:3">
      <c r="B70" s="63" t="s">
        <v>1921</v>
      </c>
      <c r="C70" t="str">
        <f t="shared" ca="1" si="1"/>
        <v>Cooperativa de Energia Treviso</v>
      </c>
    </row>
    <row r="71" spans="2:3">
      <c r="B71" s="63" t="s">
        <v>1922</v>
      </c>
      <c r="C71" t="e">
        <f t="shared" ca="1" si="1"/>
        <v>#REF!</v>
      </c>
    </row>
    <row r="72" spans="2:3">
      <c r="B72" s="63" t="s">
        <v>1923</v>
      </c>
      <c r="C72" t="str">
        <f t="shared" ca="1" si="1"/>
        <v>35/2010</v>
      </c>
    </row>
    <row r="73" spans="2:3">
      <c r="B73" s="63" t="s">
        <v>1924</v>
      </c>
      <c r="C73">
        <f t="shared" ca="1" si="1"/>
        <v>0</v>
      </c>
    </row>
    <row r="74" spans="2:3">
      <c r="B74" s="63" t="s">
        <v>1925</v>
      </c>
      <c r="C74">
        <f t="shared" ca="1" si="1"/>
        <v>0.51608307470937032</v>
      </c>
    </row>
    <row r="75" spans="2:3">
      <c r="B75" s="63" t="s">
        <v>1926</v>
      </c>
      <c r="C75">
        <f t="shared" ca="1" si="1"/>
        <v>0.48391692529062974</v>
      </c>
    </row>
    <row r="76" spans="2:3">
      <c r="B76" s="63" t="s">
        <v>1927</v>
      </c>
      <c r="C76">
        <f t="shared" ca="1" si="1"/>
        <v>0.10319399577352981</v>
      </c>
    </row>
    <row r="77" spans="2:3">
      <c r="B77" s="63" t="s">
        <v>1928</v>
      </c>
      <c r="C77">
        <f t="shared" ca="1" si="1"/>
        <v>0</v>
      </c>
    </row>
    <row r="78" spans="2:3">
      <c r="B78" s="63" t="s">
        <v>1929</v>
      </c>
      <c r="C78">
        <f t="shared" ca="1" si="1"/>
        <v>5157.3189999999995</v>
      </c>
    </row>
    <row r="79" spans="2:3">
      <c r="B79" s="63" t="s">
        <v>1930</v>
      </c>
      <c r="C79">
        <f t="shared" ca="1" si="1"/>
        <v>0</v>
      </c>
    </row>
    <row r="80" spans="2:3">
      <c r="B80" s="63" t="s">
        <v>1931</v>
      </c>
      <c r="C80">
        <f t="shared" ca="1" si="1"/>
        <v>344859.5195844142</v>
      </c>
    </row>
    <row r="81" spans="2:3">
      <c r="B81" s="63" t="s">
        <v>1932</v>
      </c>
      <c r="C81" t="e">
        <f t="shared" ca="1" si="1"/>
        <v>#REF!</v>
      </c>
    </row>
    <row r="82" spans="2:3">
      <c r="B82" s="64" t="s">
        <v>1933</v>
      </c>
      <c r="C82">
        <f t="shared" ca="1" si="1"/>
        <v>762.52146735008182</v>
      </c>
    </row>
    <row r="83" spans="2:3">
      <c r="B83" s="63" t="s">
        <v>1934</v>
      </c>
      <c r="C83">
        <f t="shared" ca="1" si="1"/>
        <v>27651255.470160004</v>
      </c>
    </row>
    <row r="84" spans="2:3">
      <c r="B84" s="63" t="s">
        <v>1935</v>
      </c>
      <c r="C84">
        <f t="shared" ca="1" si="1"/>
        <v>0</v>
      </c>
    </row>
    <row r="85" spans="2:3">
      <c r="B85" s="63" t="s">
        <v>1936</v>
      </c>
      <c r="C85">
        <f t="shared" ca="1" si="1"/>
        <v>0</v>
      </c>
    </row>
    <row r="86" spans="2:3">
      <c r="B86" s="63" t="s">
        <v>1937</v>
      </c>
      <c r="C86" t="str">
        <f t="shared" ca="1" si="1"/>
        <v>setembro de 2021 a agosto de 2022</v>
      </c>
    </row>
    <row r="87" spans="2:3">
      <c r="B87" s="63" t="s">
        <v>1938</v>
      </c>
      <c r="C87">
        <f t="shared" ca="1" si="1"/>
        <v>0</v>
      </c>
    </row>
    <row r="88" spans="2:3">
      <c r="B88" s="63" t="s">
        <v>1939</v>
      </c>
      <c r="C88" t="str">
        <f t="shared" ca="1" si="1"/>
        <v>Certrel</v>
      </c>
    </row>
    <row r="89" spans="2:3">
      <c r="B89" s="63" t="s">
        <v>1940</v>
      </c>
      <c r="C89">
        <f t="shared" ca="1" si="1"/>
        <v>0</v>
      </c>
    </row>
    <row r="90" spans="2:3">
      <c r="B90" s="63" t="s">
        <v>1941</v>
      </c>
      <c r="C90" t="e">
        <f t="shared" ca="1" si="1"/>
        <v>#REF!</v>
      </c>
    </row>
    <row r="91" spans="2:3">
      <c r="B91" s="64" t="s">
        <v>1942</v>
      </c>
      <c r="C91">
        <f t="shared" ca="1" si="1"/>
        <v>4882651.6637400007</v>
      </c>
    </row>
    <row r="92" spans="2:3">
      <c r="B92" s="64" t="s">
        <v>1943</v>
      </c>
      <c r="C92">
        <f t="shared" ca="1" si="1"/>
        <v>5.67E-2</v>
      </c>
    </row>
    <row r="93" spans="2:3">
      <c r="B93" s="64" t="s">
        <v>1944</v>
      </c>
      <c r="C93">
        <f t="shared" ca="1" si="1"/>
        <v>0.45319999999999999</v>
      </c>
    </row>
    <row r="94" spans="2:3">
      <c r="B94" s="64" t="s">
        <v>1945</v>
      </c>
      <c r="C94">
        <f t="shared" ca="1" si="1"/>
        <v>1.8100000000000002E-2</v>
      </c>
    </row>
    <row r="95" spans="2:3">
      <c r="B95" s="64" t="s">
        <v>1946</v>
      </c>
      <c r="C95" t="e">
        <f t="shared" ca="1" si="1"/>
        <v>#VALUE!</v>
      </c>
    </row>
    <row r="96" spans="2:3">
      <c r="B96" s="64" t="s">
        <v>1947</v>
      </c>
      <c r="C96" t="e">
        <f t="shared" ca="1" si="1"/>
        <v>#VALUE!</v>
      </c>
    </row>
    <row r="97" spans="2:3">
      <c r="B97" s="64" t="s">
        <v>1948</v>
      </c>
      <c r="C97" t="e">
        <f t="shared" ca="1" si="1"/>
        <v>#VALUE!</v>
      </c>
    </row>
    <row r="98" spans="2:3">
      <c r="B98" s="64" t="s">
        <v>1949</v>
      </c>
      <c r="C98" t="e">
        <f t="shared" ca="1" si="1"/>
        <v>#VALUE!</v>
      </c>
    </row>
    <row r="99" spans="2:3">
      <c r="B99" s="63" t="s">
        <v>1950</v>
      </c>
      <c r="C99" t="e">
        <f t="shared" ca="1" si="1"/>
        <v>#VALUE!</v>
      </c>
    </row>
    <row r="100" spans="2:3">
      <c r="B100" s="64" t="s">
        <v>1951</v>
      </c>
      <c r="C100" t="e">
        <f t="shared" ca="1" si="1"/>
        <v>#VALUE!</v>
      </c>
    </row>
    <row r="101" spans="2:3">
      <c r="B101" s="63" t="s">
        <v>1952</v>
      </c>
      <c r="C101" t="e">
        <f t="shared" ca="1" si="1"/>
        <v>#VALUE!</v>
      </c>
    </row>
    <row r="102" spans="2:3">
      <c r="B102" s="63" t="s">
        <v>1953</v>
      </c>
      <c r="C102" t="e">
        <f t="shared" ca="1" si="1"/>
        <v>#VALUE!</v>
      </c>
    </row>
    <row r="103" spans="2:3">
      <c r="B103" s="63" t="s">
        <v>1954</v>
      </c>
      <c r="C103" t="e">
        <f t="shared" ca="1" si="1"/>
        <v>#VALUE!</v>
      </c>
    </row>
    <row r="104" spans="2:3">
      <c r="B104" s="63" t="s">
        <v>1955</v>
      </c>
      <c r="C104" t="e">
        <f t="shared" ca="1" si="1"/>
        <v>#VALUE!</v>
      </c>
    </row>
    <row r="105" spans="2:3">
      <c r="B105" s="63" t="s">
        <v>1956</v>
      </c>
      <c r="C105" t="e">
        <f t="shared" ca="1" si="1"/>
        <v>#VALUE!</v>
      </c>
    </row>
    <row r="106" spans="2:3">
      <c r="B106" s="63" t="s">
        <v>1957</v>
      </c>
      <c r="C106" t="e">
        <f t="shared" ca="1" si="1"/>
        <v>#VALUE!</v>
      </c>
    </row>
    <row r="107" spans="2:3">
      <c r="B107" s="63" t="s">
        <v>1958</v>
      </c>
      <c r="C107" t="e">
        <f t="shared" ca="1" si="1"/>
        <v>#VALUE!</v>
      </c>
    </row>
    <row r="108" spans="2:3">
      <c r="B108" s="63" t="s">
        <v>1959</v>
      </c>
      <c r="C108" t="e">
        <f t="shared" ca="1" si="1"/>
        <v>#REF!</v>
      </c>
    </row>
    <row r="109" spans="2:3">
      <c r="B109" s="63" t="s">
        <v>1960</v>
      </c>
      <c r="C109" t="e">
        <f t="shared" ca="1" si="1"/>
        <v>#REF!</v>
      </c>
    </row>
    <row r="110" spans="2:3">
      <c r="B110" s="63" t="s">
        <v>1961</v>
      </c>
      <c r="C110" t="e">
        <f t="shared" ca="1" si="1"/>
        <v>#REF!</v>
      </c>
    </row>
    <row r="111" spans="2:3">
      <c r="B111" s="63" t="s">
        <v>1962</v>
      </c>
      <c r="C111" t="e">
        <f t="shared" ca="1" si="1"/>
        <v>#REF!</v>
      </c>
    </row>
    <row r="112" spans="2:3">
      <c r="B112" s="63" t="s">
        <v>1963</v>
      </c>
      <c r="C112" t="e">
        <f t="shared" ca="1" si="1"/>
        <v>#REF!</v>
      </c>
    </row>
    <row r="113" spans="2:3">
      <c r="B113" s="63" t="s">
        <v>1964</v>
      </c>
      <c r="C113" t="e">
        <f t="shared" ca="1" si="1"/>
        <v>#REF!</v>
      </c>
    </row>
    <row r="114" spans="2:3">
      <c r="B114" s="63" t="s">
        <v>1965</v>
      </c>
      <c r="C114" t="e">
        <f t="shared" ca="1" si="1"/>
        <v>#REF!</v>
      </c>
    </row>
    <row r="115" spans="2:3">
      <c r="B115" s="63" t="s">
        <v>1966</v>
      </c>
      <c r="C115">
        <f t="shared" ca="1" si="1"/>
        <v>0</v>
      </c>
    </row>
    <row r="116" spans="2:3">
      <c r="B116" s="64" t="s">
        <v>1967</v>
      </c>
      <c r="C116">
        <f t="shared" ca="1" si="1"/>
        <v>2444593.6090302705</v>
      </c>
    </row>
    <row r="117" spans="2:3">
      <c r="B117" s="63" t="s">
        <v>1968</v>
      </c>
      <c r="C117">
        <f t="shared" ca="1" si="1"/>
        <v>0</v>
      </c>
    </row>
    <row r="118" spans="2:3">
      <c r="B118" s="63" t="s">
        <v>1969</v>
      </c>
      <c r="C118">
        <f t="shared" ca="1" si="1"/>
        <v>0</v>
      </c>
    </row>
    <row r="119" spans="2:3">
      <c r="B119" s="64" t="s">
        <v>1970</v>
      </c>
      <c r="C119">
        <f t="shared" ca="1" si="1"/>
        <v>0</v>
      </c>
    </row>
    <row r="120" spans="2:3">
      <c r="B120" s="63" t="s">
        <v>1971</v>
      </c>
      <c r="C120">
        <f t="shared" ca="1" si="1"/>
        <v>0</v>
      </c>
    </row>
    <row r="121" spans="2:3">
      <c r="B121" s="63" t="s">
        <v>1972</v>
      </c>
      <c r="C121">
        <f t="shared" ca="1" si="1"/>
        <v>0</v>
      </c>
    </row>
    <row r="122" spans="2:3">
      <c r="B122" s="64" t="s">
        <v>1973</v>
      </c>
      <c r="C122">
        <f t="shared" ca="1" si="1"/>
        <v>0</v>
      </c>
    </row>
    <row r="123" spans="2:3">
      <c r="B123" s="63" t="s">
        <v>1974</v>
      </c>
      <c r="C123">
        <f t="shared" ca="1" si="1"/>
        <v>0</v>
      </c>
    </row>
    <row r="124" spans="2:3">
      <c r="B124" s="63" t="s">
        <v>1975</v>
      </c>
      <c r="C124">
        <f t="shared" ca="1" si="1"/>
        <v>0</v>
      </c>
    </row>
    <row r="125" spans="2:3">
      <c r="B125" s="64" t="s">
        <v>1976</v>
      </c>
      <c r="C125">
        <f t="shared" ca="1" si="1"/>
        <v>0</v>
      </c>
    </row>
    <row r="126" spans="2:3">
      <c r="B126" s="63" t="s">
        <v>1977</v>
      </c>
      <c r="C126">
        <f t="shared" ca="1" si="1"/>
        <v>414349.70461805823</v>
      </c>
    </row>
    <row r="127" spans="2:3">
      <c r="B127" s="63" t="s">
        <v>1978</v>
      </c>
      <c r="C127">
        <f t="shared" ca="1" si="1"/>
        <v>0</v>
      </c>
    </row>
    <row r="128" spans="2:3">
      <c r="B128" s="64" t="s">
        <v>1979</v>
      </c>
      <c r="C128">
        <f t="shared" ca="1" si="1"/>
        <v>56252.212149718573</v>
      </c>
    </row>
    <row r="129" spans="2:3">
      <c r="B129" s="63" t="s">
        <v>1980</v>
      </c>
      <c r="C129">
        <f t="shared" ca="1" si="1"/>
        <v>44819.61</v>
      </c>
    </row>
    <row r="130" spans="2:3">
      <c r="B130" s="63" t="s">
        <v>1981</v>
      </c>
      <c r="C130">
        <f t="shared" ca="1" si="1"/>
        <v>27651255.470160004</v>
      </c>
    </row>
    <row r="131" spans="2:3">
      <c r="B131" s="64" t="s">
        <v>1982</v>
      </c>
      <c r="C131" t="str">
        <f t="shared" ref="C131:C194" ca="1" si="2">INDIRECT(B131)</f>
        <v>Convencional</v>
      </c>
    </row>
    <row r="132" spans="2:3">
      <c r="B132" s="63" t="s">
        <v>1983</v>
      </c>
      <c r="C132" t="e">
        <f t="shared" ca="1" si="2"/>
        <v>#VALUE!</v>
      </c>
    </row>
    <row r="133" spans="2:3">
      <c r="B133" s="64" t="s">
        <v>1984</v>
      </c>
      <c r="C133" t="e">
        <f t="shared" ca="1" si="2"/>
        <v>#REF!</v>
      </c>
    </row>
    <row r="134" spans="2:3">
      <c r="B134" s="63" t="s">
        <v>1985</v>
      </c>
      <c r="C134" t="e">
        <f t="shared" ca="1" si="2"/>
        <v>#REF!</v>
      </c>
    </row>
    <row r="135" spans="2:3">
      <c r="B135" s="63" t="s">
        <v>1986</v>
      </c>
      <c r="C135">
        <f t="shared" ca="1" si="2"/>
        <v>44774</v>
      </c>
    </row>
    <row r="136" spans="2:3">
      <c r="B136" s="63" t="s">
        <v>1987</v>
      </c>
      <c r="C136">
        <f t="shared" ca="1" si="2"/>
        <v>44440</v>
      </c>
    </row>
    <row r="137" spans="2:3">
      <c r="B137" s="63" t="s">
        <v>1988</v>
      </c>
      <c r="C137" t="e">
        <f t="shared" ca="1" si="2"/>
        <v>#REF!</v>
      </c>
    </row>
    <row r="138" spans="2:3">
      <c r="B138" s="63" t="s">
        <v>1989</v>
      </c>
      <c r="C138" t="e">
        <f t="shared" ca="1" si="2"/>
        <v>#REF!</v>
      </c>
    </row>
    <row r="139" spans="2:3">
      <c r="B139" s="63" t="s">
        <v>1990</v>
      </c>
      <c r="C139" t="e">
        <f t="shared" ca="1" si="2"/>
        <v>#REF!</v>
      </c>
    </row>
    <row r="140" spans="2:3">
      <c r="B140" s="63" t="s">
        <v>1991</v>
      </c>
      <c r="C140">
        <f t="shared" ca="1" si="2"/>
        <v>0</v>
      </c>
    </row>
    <row r="141" spans="2:3">
      <c r="B141" s="63" t="s">
        <v>1992</v>
      </c>
      <c r="C141" t="e">
        <f t="shared" ca="1" si="2"/>
        <v>#VALUE!</v>
      </c>
    </row>
    <row r="142" spans="2:3">
      <c r="B142" s="63" t="s">
        <v>1993</v>
      </c>
      <c r="C142" t="e">
        <f t="shared" ca="1" si="2"/>
        <v>#VALUE!</v>
      </c>
    </row>
    <row r="143" spans="2:3">
      <c r="B143" s="63" t="s">
        <v>1994</v>
      </c>
      <c r="C143" t="e">
        <f t="shared" ca="1" si="2"/>
        <v>#VALUE!</v>
      </c>
    </row>
    <row r="144" spans="2:3">
      <c r="B144" s="63" t="s">
        <v>1995</v>
      </c>
      <c r="C144" t="e">
        <f t="shared" ca="1" si="2"/>
        <v>#VALUE!</v>
      </c>
    </row>
    <row r="145" spans="2:3">
      <c r="B145" s="63" t="s">
        <v>1996</v>
      </c>
      <c r="C145" t="e">
        <f t="shared" ca="1" si="2"/>
        <v>#VALUE!</v>
      </c>
    </row>
    <row r="146" spans="2:3">
      <c r="B146" s="64" t="s">
        <v>1997</v>
      </c>
      <c r="C146" t="e">
        <f t="shared" ca="1" si="2"/>
        <v>#REF!</v>
      </c>
    </row>
    <row r="147" spans="2:3">
      <c r="B147" s="64" t="s">
        <v>1998</v>
      </c>
      <c r="C147" t="e">
        <f t="shared" ca="1" si="2"/>
        <v>#REF!</v>
      </c>
    </row>
    <row r="148" spans="2:3">
      <c r="B148" s="64" t="s">
        <v>1999</v>
      </c>
      <c r="C148" t="e">
        <f t="shared" ca="1" si="2"/>
        <v>#REF!</v>
      </c>
    </row>
    <row r="149" spans="2:3">
      <c r="B149" s="64" t="s">
        <v>2000</v>
      </c>
      <c r="C149" t="e">
        <f t="shared" ca="1" si="2"/>
        <v>#REF!</v>
      </c>
    </row>
    <row r="150" spans="2:3">
      <c r="B150" s="64" t="s">
        <v>2001</v>
      </c>
      <c r="C150" t="e">
        <f t="shared" ca="1" si="2"/>
        <v>#REF!</v>
      </c>
    </row>
    <row r="151" spans="2:3">
      <c r="B151" s="64" t="s">
        <v>2002</v>
      </c>
      <c r="C151" t="e">
        <f t="shared" ca="1" si="2"/>
        <v>#REF!</v>
      </c>
    </row>
    <row r="152" spans="2:3">
      <c r="B152" s="64" t="s">
        <v>2003</v>
      </c>
      <c r="C152" t="e">
        <f t="shared" ca="1" si="2"/>
        <v>#REF!</v>
      </c>
    </row>
    <row r="153" spans="2:3">
      <c r="B153" s="64" t="s">
        <v>2004</v>
      </c>
      <c r="C153" t="e">
        <f t="shared" ca="1" si="2"/>
        <v>#REF!</v>
      </c>
    </row>
    <row r="154" spans="2:3">
      <c r="B154" s="63" t="s">
        <v>2005</v>
      </c>
      <c r="C154" t="e">
        <f t="shared" ca="1" si="2"/>
        <v>#VALUE!</v>
      </c>
    </row>
    <row r="155" spans="2:3">
      <c r="B155" s="63" t="s">
        <v>2006</v>
      </c>
      <c r="C155" t="e">
        <f t="shared" ca="1" si="2"/>
        <v>#VALUE!</v>
      </c>
    </row>
    <row r="156" spans="2:3">
      <c r="B156" s="63" t="s">
        <v>2007</v>
      </c>
      <c r="C156" t="e">
        <f t="shared" ca="1" si="2"/>
        <v>#VALUE!</v>
      </c>
    </row>
    <row r="157" spans="2:3">
      <c r="B157" s="63" t="s">
        <v>2008</v>
      </c>
      <c r="C157" t="e">
        <f t="shared" ca="1" si="2"/>
        <v>#VALUE!</v>
      </c>
    </row>
    <row r="158" spans="2:3">
      <c r="B158" s="63" t="s">
        <v>2009</v>
      </c>
      <c r="C158" t="e">
        <f t="shared" ca="1" si="2"/>
        <v>#REF!</v>
      </c>
    </row>
    <row r="159" spans="2:3">
      <c r="B159" s="63" t="s">
        <v>2010</v>
      </c>
      <c r="C159" t="e">
        <f t="shared" ca="1" si="2"/>
        <v>#VALUE!</v>
      </c>
    </row>
    <row r="160" spans="2:3">
      <c r="B160" s="63" t="s">
        <v>2011</v>
      </c>
      <c r="C160" t="e">
        <f t="shared" ca="1" si="2"/>
        <v>#VALUE!</v>
      </c>
    </row>
    <row r="161" spans="2:3">
      <c r="B161" s="63" t="s">
        <v>2012</v>
      </c>
      <c r="C161" t="e">
        <f t="shared" ca="1" si="2"/>
        <v>#VALUE!</v>
      </c>
    </row>
    <row r="162" spans="2:3">
      <c r="B162" s="63" t="s">
        <v>2013</v>
      </c>
      <c r="C162" t="e">
        <f t="shared" ca="1" si="2"/>
        <v>#VALUE!</v>
      </c>
    </row>
    <row r="163" spans="2:3">
      <c r="B163" s="63" t="s">
        <v>2014</v>
      </c>
      <c r="C163" t="e">
        <f t="shared" ca="1" si="2"/>
        <v>#VALUE!</v>
      </c>
    </row>
    <row r="164" spans="2:3">
      <c r="B164" s="63" t="s">
        <v>2015</v>
      </c>
      <c r="C164" t="e">
        <f t="shared" ca="1" si="2"/>
        <v>#VALUE!</v>
      </c>
    </row>
    <row r="165" spans="2:3">
      <c r="B165" s="63" t="s">
        <v>2016</v>
      </c>
      <c r="C165" t="e">
        <f t="shared" ca="1" si="2"/>
        <v>#VALUE!</v>
      </c>
    </row>
    <row r="166" spans="2:3">
      <c r="B166" s="63" t="s">
        <v>2017</v>
      </c>
      <c r="C166" t="e">
        <f t="shared" ca="1" si="2"/>
        <v>#VALUE!</v>
      </c>
    </row>
    <row r="167" spans="2:3">
      <c r="B167" s="63" t="s">
        <v>2018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2022-09-27T18:03:02Z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